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755" firstSheet="9" activeTab="10"/>
  </bookViews>
  <sheets>
    <sheet name="REKAP RPJMKAL FIX" sheetId="7" state="hidden" r:id="rId1"/>
    <sheet name="RKP TAHUN 2020" sheetId="9" state="hidden" r:id="rId2"/>
    <sheet name="RKP TAHUN 2021" sheetId="8" state="hidden" r:id="rId3"/>
    <sheet name="RKP TAHUN 2022" sheetId="10" state="hidden" r:id="rId4"/>
    <sheet name="PROYEKSI PENDAPATAN" sheetId="11" state="hidden" r:id="rId5"/>
    <sheet name="PROYEKSI BELANJA" sheetId="12" state="hidden" r:id="rId6"/>
    <sheet name="RENCANA 2023" sheetId="3" state="hidden" r:id="rId7"/>
    <sheet name="DRAF RKP 2023" sheetId="13" state="hidden" r:id="rId8"/>
    <sheet name="DRAF RKP 2023 (2)" sheetId="14" state="hidden" r:id="rId9"/>
    <sheet name="DRAF RKP PRINT" sheetId="15" r:id="rId10"/>
    <sheet name="fixx" sheetId="16" r:id="rId11"/>
  </sheets>
  <externalReferences>
    <externalReference r:id="rId12"/>
    <externalReference r:id="rId13"/>
  </externalReferences>
  <definedNames>
    <definedName name="\Z" localSheetId="7">#REF!</definedName>
    <definedName name="\Z" localSheetId="8">#REF!</definedName>
    <definedName name="\Z" localSheetId="9">#REF!</definedName>
    <definedName name="\Z" localSheetId="5">#REF!</definedName>
    <definedName name="\Z" localSheetId="4">#REF!</definedName>
    <definedName name="\Z" localSheetId="1">#REF!</definedName>
    <definedName name="\Z" localSheetId="2">#REF!</definedName>
    <definedName name="\Z" localSheetId="3">#REF!</definedName>
    <definedName name="\Z">#REF!</definedName>
    <definedName name="_xlnm._FilterDatabase" localSheetId="6" hidden="1">'RENCANA 2023'!$B$8:$D$147</definedName>
    <definedName name="_xlnm.Print_Area" localSheetId="7">'DRAF RKP 2023'!$A$1:$T$413</definedName>
    <definedName name="_xlnm.Print_Area" localSheetId="8">'DRAF RKP 2023 (2)'!$A$1:$V$413</definedName>
    <definedName name="_xlnm.Print_Area" localSheetId="9">'DRAF RKP PRINT'!$A$1:$P$138</definedName>
    <definedName name="_xlnm.Print_Area" localSheetId="5">'PROYEKSI BELANJA'!$A$1:$I$126</definedName>
    <definedName name="_xlnm.Print_Area" localSheetId="4">'[1]F-25.b LEMBAR CATATAN'!$A$3:$L$68</definedName>
    <definedName name="_xlnm.Print_Area" localSheetId="0">'REKAP RPJMKAL FIX'!$A$1:$U$664</definedName>
    <definedName name="_xlnm.Print_Area" localSheetId="1">'RKP TAHUN 2020'!$A$1:$I$92</definedName>
    <definedName name="_xlnm.Print_Area" localSheetId="2">'RKP TAHUN 2021'!$A$1:$I$128</definedName>
    <definedName name="_xlnm.Print_Area" localSheetId="3">'RKP TAHUN 2022'!$A$1:$I$126</definedName>
    <definedName name="_xlnm.Print_Area">'[2]F-25.b LEMBAR CATATAN'!$A$3:$L$68</definedName>
  </definedNames>
  <calcPr calcId="144525"/>
</workbook>
</file>

<file path=xl/calcChain.xml><?xml version="1.0" encoding="utf-8"?>
<calcChain xmlns="http://schemas.openxmlformats.org/spreadsheetml/2006/main">
  <c r="G229" i="16" l="1"/>
  <c r="G234" i="16"/>
  <c r="G230" i="16"/>
  <c r="G199" i="16"/>
  <c r="G226" i="16"/>
  <c r="G224" i="16"/>
  <c r="G204" i="16"/>
  <c r="G187" i="16"/>
  <c r="G175" i="16"/>
  <c r="G166" i="16"/>
  <c r="G152" i="16"/>
  <c r="G151" i="16" s="1"/>
  <c r="G133" i="16"/>
  <c r="G116" i="16"/>
  <c r="G103" i="16"/>
  <c r="G85" i="16"/>
  <c r="G67" i="16" s="1"/>
  <c r="G68" i="16"/>
  <c r="G53" i="16"/>
  <c r="G35" i="16"/>
  <c r="G28" i="16"/>
  <c r="G18" i="16"/>
  <c r="G8" i="16"/>
  <c r="G7" i="16" l="1"/>
  <c r="R127" i="14"/>
  <c r="R128" i="14"/>
  <c r="L129" i="15" l="1"/>
  <c r="L128" i="15" s="1"/>
  <c r="P128" i="15"/>
  <c r="O128" i="15"/>
  <c r="N128" i="15"/>
  <c r="M128" i="15"/>
  <c r="K128" i="15"/>
  <c r="J128" i="15"/>
  <c r="I128" i="15"/>
  <c r="H128" i="15"/>
  <c r="G128" i="15"/>
  <c r="D127" i="15"/>
  <c r="D126" i="15" s="1"/>
  <c r="P126" i="15"/>
  <c r="O126" i="15"/>
  <c r="N126" i="15"/>
  <c r="M126" i="15"/>
  <c r="L126" i="15"/>
  <c r="K126" i="15"/>
  <c r="J126" i="15"/>
  <c r="I126" i="15"/>
  <c r="H126" i="15"/>
  <c r="G126" i="15"/>
  <c r="D124" i="15"/>
  <c r="P124" i="15"/>
  <c r="O124" i="15"/>
  <c r="N124" i="15"/>
  <c r="M124" i="15"/>
  <c r="L124" i="15"/>
  <c r="K124" i="15"/>
  <c r="K123" i="15" s="1"/>
  <c r="J124" i="15"/>
  <c r="I124" i="15"/>
  <c r="I123" i="15" s="1"/>
  <c r="H124" i="15"/>
  <c r="G124" i="15"/>
  <c r="G123" i="15" s="1"/>
  <c r="D122" i="15"/>
  <c r="L121" i="15"/>
  <c r="D120" i="15" s="1"/>
  <c r="P120" i="15"/>
  <c r="O120" i="15"/>
  <c r="N120" i="15"/>
  <c r="M120" i="15"/>
  <c r="K120" i="15"/>
  <c r="J120" i="15"/>
  <c r="I120" i="15"/>
  <c r="H120" i="15"/>
  <c r="G120" i="15"/>
  <c r="D119" i="15"/>
  <c r="P117" i="15"/>
  <c r="O117" i="15"/>
  <c r="N117" i="15"/>
  <c r="M117" i="15"/>
  <c r="L117" i="15"/>
  <c r="K117" i="15"/>
  <c r="J117" i="15"/>
  <c r="I117" i="15"/>
  <c r="H117" i="15"/>
  <c r="G117" i="15"/>
  <c r="D116" i="15"/>
  <c r="L115" i="15"/>
  <c r="D115" i="15" s="1"/>
  <c r="L114" i="15"/>
  <c r="D114" i="15" s="1"/>
  <c r="L113" i="15"/>
  <c r="D113" i="15" s="1"/>
  <c r="L112" i="15"/>
  <c r="D112" i="15" s="1"/>
  <c r="D111" i="15"/>
  <c r="L110" i="15"/>
  <c r="D110" i="15" s="1"/>
  <c r="L109" i="15"/>
  <c r="D109" i="15" s="1"/>
  <c r="P108" i="15"/>
  <c r="O108" i="15"/>
  <c r="N108" i="15"/>
  <c r="M108" i="15"/>
  <c r="K108" i="15"/>
  <c r="J108" i="15"/>
  <c r="I108" i="15"/>
  <c r="H108" i="15"/>
  <c r="G108" i="15"/>
  <c r="F108" i="15"/>
  <c r="D107" i="15"/>
  <c r="D106" i="15"/>
  <c r="D105" i="15"/>
  <c r="P104" i="15"/>
  <c r="O104" i="15"/>
  <c r="N104" i="15"/>
  <c r="M104" i="15"/>
  <c r="L104" i="15"/>
  <c r="K104" i="15"/>
  <c r="J104" i="15"/>
  <c r="I104" i="15"/>
  <c r="H104" i="15"/>
  <c r="G104" i="15"/>
  <c r="P102" i="15"/>
  <c r="O102" i="15"/>
  <c r="N102" i="15"/>
  <c r="M102" i="15"/>
  <c r="L102" i="15"/>
  <c r="K102" i="15"/>
  <c r="J102" i="15"/>
  <c r="I102" i="15"/>
  <c r="H102" i="15"/>
  <c r="G102" i="15"/>
  <c r="N98" i="15"/>
  <c r="P97" i="15"/>
  <c r="O97" i="15"/>
  <c r="M97" i="15"/>
  <c r="L97" i="15"/>
  <c r="K97" i="15"/>
  <c r="J97" i="15"/>
  <c r="I97" i="15"/>
  <c r="H97" i="15"/>
  <c r="G97" i="15"/>
  <c r="D95" i="15"/>
  <c r="P94" i="15"/>
  <c r="O94" i="15"/>
  <c r="N94" i="15"/>
  <c r="M94" i="15"/>
  <c r="L94" i="15"/>
  <c r="K94" i="15"/>
  <c r="J94" i="15"/>
  <c r="I94" i="15"/>
  <c r="H94" i="15"/>
  <c r="G94" i="15"/>
  <c r="D93" i="15"/>
  <c r="D92" i="15"/>
  <c r="D91" i="15"/>
  <c r="N90" i="15"/>
  <c r="N86" i="15" s="1"/>
  <c r="D89" i="15"/>
  <c r="D87" i="15"/>
  <c r="P86" i="15"/>
  <c r="O86" i="15"/>
  <c r="M86" i="15"/>
  <c r="L86" i="15"/>
  <c r="K86" i="15"/>
  <c r="J86" i="15"/>
  <c r="I86" i="15"/>
  <c r="H86" i="15"/>
  <c r="G86" i="15"/>
  <c r="D85" i="15"/>
  <c r="N84" i="15"/>
  <c r="D84" i="15" s="1"/>
  <c r="P82" i="15"/>
  <c r="O82" i="15"/>
  <c r="M82" i="15"/>
  <c r="L82" i="15"/>
  <c r="K82" i="15"/>
  <c r="J82" i="15"/>
  <c r="I82" i="15"/>
  <c r="H82" i="15"/>
  <c r="G82" i="15"/>
  <c r="F82" i="15"/>
  <c r="D80" i="15"/>
  <c r="D79" i="15"/>
  <c r="P78" i="15"/>
  <c r="O78" i="15"/>
  <c r="N78" i="15"/>
  <c r="M78" i="15"/>
  <c r="L78" i="15"/>
  <c r="K78" i="15"/>
  <c r="J78" i="15"/>
  <c r="I78" i="15"/>
  <c r="H78" i="15"/>
  <c r="G78" i="15"/>
  <c r="P76" i="15"/>
  <c r="O76" i="15"/>
  <c r="N76" i="15"/>
  <c r="M76" i="15"/>
  <c r="L76" i="15"/>
  <c r="K76" i="15"/>
  <c r="J76" i="15"/>
  <c r="I76" i="15"/>
  <c r="H76" i="15"/>
  <c r="G76" i="15"/>
  <c r="P72" i="15"/>
  <c r="O72" i="15"/>
  <c r="N72" i="15"/>
  <c r="M72" i="15"/>
  <c r="L72" i="15"/>
  <c r="K72" i="15"/>
  <c r="J72" i="15"/>
  <c r="I72" i="15"/>
  <c r="H72" i="15"/>
  <c r="G72" i="15"/>
  <c r="O71" i="15"/>
  <c r="O66" i="15" s="1"/>
  <c r="L70" i="15"/>
  <c r="D70" i="15" s="1"/>
  <c r="D69" i="15"/>
  <c r="L68" i="15"/>
  <c r="P67" i="15"/>
  <c r="P66" i="15" s="1"/>
  <c r="L67" i="15"/>
  <c r="N66" i="15"/>
  <c r="M66" i="15"/>
  <c r="K66" i="15"/>
  <c r="J66" i="15"/>
  <c r="I66" i="15"/>
  <c r="H66" i="15"/>
  <c r="G66" i="15"/>
  <c r="L63" i="15"/>
  <c r="P60" i="15"/>
  <c r="O60" i="15"/>
  <c r="N60" i="15"/>
  <c r="M60" i="15"/>
  <c r="K60" i="15"/>
  <c r="J60" i="15"/>
  <c r="I60" i="15"/>
  <c r="H60" i="15"/>
  <c r="G60" i="15"/>
  <c r="D59" i="15"/>
  <c r="P56" i="15"/>
  <c r="O56" i="15"/>
  <c r="N56" i="15"/>
  <c r="M56" i="15"/>
  <c r="L56" i="15"/>
  <c r="K56" i="15"/>
  <c r="J56" i="15"/>
  <c r="I56" i="15"/>
  <c r="H56" i="15"/>
  <c r="G56" i="15"/>
  <c r="F55" i="15"/>
  <c r="D54" i="15"/>
  <c r="M52" i="15"/>
  <c r="D52" i="15" s="1"/>
  <c r="D51" i="15"/>
  <c r="P50" i="15"/>
  <c r="O50" i="15"/>
  <c r="N50" i="15"/>
  <c r="L50" i="15"/>
  <c r="K50" i="15"/>
  <c r="J50" i="15"/>
  <c r="I50" i="15"/>
  <c r="H50" i="15"/>
  <c r="G50" i="15"/>
  <c r="F50" i="15"/>
  <c r="D49" i="15"/>
  <c r="M48" i="15"/>
  <c r="D48" i="15" s="1"/>
  <c r="M47" i="15"/>
  <c r="M43" i="15"/>
  <c r="D43" i="15" s="1"/>
  <c r="D42" i="15"/>
  <c r="D41" i="15"/>
  <c r="M40" i="15"/>
  <c r="M38" i="15"/>
  <c r="P37" i="15"/>
  <c r="O37" i="15"/>
  <c r="N37" i="15"/>
  <c r="L37" i="15"/>
  <c r="K37" i="15"/>
  <c r="J37" i="15"/>
  <c r="I37" i="15"/>
  <c r="H37" i="15"/>
  <c r="G37" i="15"/>
  <c r="D36" i="15"/>
  <c r="P32" i="15"/>
  <c r="O32" i="15"/>
  <c r="N32" i="15"/>
  <c r="M32" i="15"/>
  <c r="L32" i="15"/>
  <c r="K32" i="15"/>
  <c r="J32" i="15"/>
  <c r="I32" i="15"/>
  <c r="H32" i="15"/>
  <c r="G32" i="15"/>
  <c r="D31" i="15"/>
  <c r="D30" i="15"/>
  <c r="D29" i="15"/>
  <c r="D28" i="15"/>
  <c r="M27" i="15"/>
  <c r="D27" i="15" s="1"/>
  <c r="D25" i="15"/>
  <c r="D24" i="15"/>
  <c r="P23" i="15"/>
  <c r="O23" i="15"/>
  <c r="N23" i="15"/>
  <c r="L23" i="15"/>
  <c r="K23" i="15"/>
  <c r="J23" i="15"/>
  <c r="I23" i="15"/>
  <c r="H23" i="15"/>
  <c r="G23" i="15"/>
  <c r="D22" i="15"/>
  <c r="M21" i="15"/>
  <c r="M19" i="15"/>
  <c r="L18" i="15"/>
  <c r="L14" i="15" s="1"/>
  <c r="M16" i="15"/>
  <c r="M15" i="15"/>
  <c r="P14" i="15"/>
  <c r="O14" i="15"/>
  <c r="N14" i="15"/>
  <c r="K14" i="15"/>
  <c r="J14" i="15"/>
  <c r="I14" i="15"/>
  <c r="H14" i="15"/>
  <c r="G14" i="15"/>
  <c r="F14" i="15"/>
  <c r="I101" i="15" l="1"/>
  <c r="L108" i="15"/>
  <c r="P81" i="15"/>
  <c r="H55" i="15"/>
  <c r="D76" i="15"/>
  <c r="D86" i="15"/>
  <c r="D117" i="15"/>
  <c r="H123" i="15"/>
  <c r="P123" i="15"/>
  <c r="M123" i="15"/>
  <c r="I13" i="15"/>
  <c r="L60" i="15"/>
  <c r="D71" i="15"/>
  <c r="O81" i="15"/>
  <c r="G55" i="15"/>
  <c r="K55" i="15"/>
  <c r="D72" i="15"/>
  <c r="H81" i="15"/>
  <c r="P101" i="15"/>
  <c r="J13" i="15"/>
  <c r="D14" i="15"/>
  <c r="P55" i="15"/>
  <c r="D50" i="15"/>
  <c r="I55" i="15"/>
  <c r="M55" i="15"/>
  <c r="D56" i="15"/>
  <c r="D60" i="15"/>
  <c r="D82" i="15"/>
  <c r="J81" i="15"/>
  <c r="L81" i="15"/>
  <c r="O123" i="15"/>
  <c r="L13" i="15"/>
  <c r="M23" i="15"/>
  <c r="D32" i="15"/>
  <c r="G81" i="15"/>
  <c r="K81" i="15"/>
  <c r="D97" i="15"/>
  <c r="N13" i="15"/>
  <c r="N97" i="15"/>
  <c r="M101" i="15"/>
  <c r="D102" i="15"/>
  <c r="H101" i="15"/>
  <c r="J123" i="15"/>
  <c r="L123" i="15"/>
  <c r="M14" i="15"/>
  <c r="O13" i="15"/>
  <c r="J55" i="15"/>
  <c r="N55" i="15"/>
  <c r="D78" i="15"/>
  <c r="D94" i="15"/>
  <c r="J101" i="15"/>
  <c r="N101" i="15"/>
  <c r="D108" i="15"/>
  <c r="N123" i="15"/>
  <c r="D23" i="15"/>
  <c r="G13" i="15"/>
  <c r="K13" i="15"/>
  <c r="P13" i="15"/>
  <c r="M50" i="15"/>
  <c r="H13" i="15"/>
  <c r="D37" i="15"/>
  <c r="L66" i="15"/>
  <c r="I81" i="15"/>
  <c r="M81" i="15"/>
  <c r="G101" i="15"/>
  <c r="K101" i="15"/>
  <c r="O101" i="15"/>
  <c r="D104" i="15"/>
  <c r="D128" i="15"/>
  <c r="D123" i="15" s="1"/>
  <c r="O55" i="15"/>
  <c r="L120" i="15"/>
  <c r="M37" i="15"/>
  <c r="N82" i="15"/>
  <c r="J217" i="14"/>
  <c r="V216" i="14"/>
  <c r="U216" i="14"/>
  <c r="T216" i="14"/>
  <c r="S216" i="14"/>
  <c r="R216" i="14"/>
  <c r="Q216" i="14"/>
  <c r="P216" i="14"/>
  <c r="O216" i="14"/>
  <c r="N216" i="14"/>
  <c r="M216" i="14"/>
  <c r="L216" i="14"/>
  <c r="J216" i="14"/>
  <c r="J215" i="14"/>
  <c r="V214" i="14"/>
  <c r="U214" i="14"/>
  <c r="T214" i="14"/>
  <c r="S214" i="14"/>
  <c r="S211" i="14" s="1"/>
  <c r="R214" i="14"/>
  <c r="Q214" i="14"/>
  <c r="P214" i="14"/>
  <c r="O214" i="14"/>
  <c r="O211" i="14" s="1"/>
  <c r="N214" i="14"/>
  <c r="M214" i="14"/>
  <c r="L214" i="14"/>
  <c r="J214" i="14"/>
  <c r="J211" i="14" s="1"/>
  <c r="J213" i="14"/>
  <c r="V212" i="14"/>
  <c r="U212" i="14"/>
  <c r="T212" i="14"/>
  <c r="S212" i="14"/>
  <c r="R212" i="14"/>
  <c r="Q212" i="14"/>
  <c r="P212" i="14"/>
  <c r="O212" i="14"/>
  <c r="N212" i="14"/>
  <c r="M212" i="14"/>
  <c r="L212" i="14"/>
  <c r="J212" i="14"/>
  <c r="U211" i="14"/>
  <c r="Q211" i="14"/>
  <c r="M211" i="14"/>
  <c r="J210" i="14"/>
  <c r="V209" i="14"/>
  <c r="U209" i="14"/>
  <c r="T209" i="14"/>
  <c r="S209" i="14"/>
  <c r="R209" i="14"/>
  <c r="Q209" i="14"/>
  <c r="P209" i="14"/>
  <c r="O209" i="14"/>
  <c r="N209" i="14"/>
  <c r="M209" i="14"/>
  <c r="L209" i="14"/>
  <c r="J209" i="14"/>
  <c r="J206" i="14"/>
  <c r="V205" i="14"/>
  <c r="V202" i="14" s="1"/>
  <c r="U205" i="14"/>
  <c r="T205" i="14"/>
  <c r="S205" i="14"/>
  <c r="R205" i="14"/>
  <c r="R202" i="14" s="1"/>
  <c r="Q205" i="14"/>
  <c r="P205" i="14"/>
  <c r="O205" i="14"/>
  <c r="N205" i="14"/>
  <c r="N202" i="14" s="1"/>
  <c r="M205" i="14"/>
  <c r="L205" i="14"/>
  <c r="J205" i="14"/>
  <c r="J204" i="14"/>
  <c r="V203" i="14"/>
  <c r="U203" i="14"/>
  <c r="T203" i="14"/>
  <c r="S203" i="14"/>
  <c r="R203" i="14"/>
  <c r="Q203" i="14"/>
  <c r="P203" i="14"/>
  <c r="O203" i="14"/>
  <c r="N203" i="14"/>
  <c r="M203" i="14"/>
  <c r="L203" i="14"/>
  <c r="J203" i="14"/>
  <c r="T202" i="14"/>
  <c r="P202" i="14"/>
  <c r="L202" i="14"/>
  <c r="T201" i="14"/>
  <c r="P201" i="14"/>
  <c r="L201" i="14"/>
  <c r="R195" i="14"/>
  <c r="J195" i="14" s="1"/>
  <c r="J194" i="14" s="1"/>
  <c r="V194" i="14"/>
  <c r="U194" i="14"/>
  <c r="T194" i="14"/>
  <c r="S194" i="14"/>
  <c r="R194" i="14"/>
  <c r="Q194" i="14"/>
  <c r="P194" i="14"/>
  <c r="O194" i="14"/>
  <c r="N194" i="14"/>
  <c r="M194" i="14"/>
  <c r="J193" i="14"/>
  <c r="J192" i="14" s="1"/>
  <c r="V192" i="14"/>
  <c r="U192" i="14"/>
  <c r="U189" i="14" s="1"/>
  <c r="T192" i="14"/>
  <c r="S192" i="14"/>
  <c r="R192" i="14"/>
  <c r="Q192" i="14"/>
  <c r="Q189" i="14" s="1"/>
  <c r="P192" i="14"/>
  <c r="O192" i="14"/>
  <c r="N192" i="14"/>
  <c r="M192" i="14"/>
  <c r="M189" i="14" s="1"/>
  <c r="J191" i="14"/>
  <c r="J190" i="14" s="1"/>
  <c r="V190" i="14"/>
  <c r="U190" i="14"/>
  <c r="T190" i="14"/>
  <c r="T189" i="14" s="1"/>
  <c r="S190" i="14"/>
  <c r="R190" i="14"/>
  <c r="R189" i="14" s="1"/>
  <c r="Q190" i="14"/>
  <c r="P190" i="14"/>
  <c r="P189" i="14" s="1"/>
  <c r="O190" i="14"/>
  <c r="N190" i="14"/>
  <c r="N189" i="14" s="1"/>
  <c r="M190" i="14"/>
  <c r="V189" i="14"/>
  <c r="J188" i="14"/>
  <c r="R187" i="14"/>
  <c r="J187" i="14" s="1"/>
  <c r="V186" i="14"/>
  <c r="U186" i="14"/>
  <c r="T186" i="14"/>
  <c r="S186" i="14"/>
  <c r="Q186" i="14"/>
  <c r="P186" i="14"/>
  <c r="O186" i="14"/>
  <c r="N186" i="14"/>
  <c r="M186" i="14"/>
  <c r="J185" i="14"/>
  <c r="J184" i="14"/>
  <c r="J183" i="14" s="1"/>
  <c r="V183" i="14"/>
  <c r="U183" i="14"/>
  <c r="U165" i="14" s="1"/>
  <c r="T183" i="14"/>
  <c r="S183" i="14"/>
  <c r="R183" i="14"/>
  <c r="Q183" i="14"/>
  <c r="Q165" i="14" s="1"/>
  <c r="P183" i="14"/>
  <c r="O183" i="14"/>
  <c r="N183" i="14"/>
  <c r="M183" i="14"/>
  <c r="M165" i="14" s="1"/>
  <c r="J182" i="14"/>
  <c r="R181" i="14"/>
  <c r="J181" i="14" s="1"/>
  <c r="R180" i="14"/>
  <c r="J180" i="14" s="1"/>
  <c r="R179" i="14"/>
  <c r="J179" i="14" s="1"/>
  <c r="R178" i="14"/>
  <c r="J178" i="14" s="1"/>
  <c r="J177" i="14"/>
  <c r="R176" i="14"/>
  <c r="J176" i="14" s="1"/>
  <c r="R175" i="14"/>
  <c r="J175" i="14" s="1"/>
  <c r="V174" i="14"/>
  <c r="U174" i="14"/>
  <c r="T174" i="14"/>
  <c r="S174" i="14"/>
  <c r="R174" i="14"/>
  <c r="Q174" i="14"/>
  <c r="P174" i="14"/>
  <c r="O174" i="14"/>
  <c r="N174" i="14"/>
  <c r="M174" i="14"/>
  <c r="L174" i="14"/>
  <c r="L165" i="14" s="1"/>
  <c r="J173" i="14"/>
  <c r="J172" i="14"/>
  <c r="J171" i="14"/>
  <c r="V170" i="14"/>
  <c r="U170" i="14"/>
  <c r="T170" i="14"/>
  <c r="S170" i="14"/>
  <c r="R170" i="14"/>
  <c r="Q170" i="14"/>
  <c r="P170" i="14"/>
  <c r="O170" i="14"/>
  <c r="N170" i="14"/>
  <c r="M170" i="14"/>
  <c r="J170" i="14"/>
  <c r="J169" i="14"/>
  <c r="J168" i="14"/>
  <c r="J167" i="14"/>
  <c r="V166" i="14"/>
  <c r="U166" i="14"/>
  <c r="T166" i="14"/>
  <c r="T165" i="14" s="1"/>
  <c r="S166" i="14"/>
  <c r="R166" i="14"/>
  <c r="Q166" i="14"/>
  <c r="P166" i="14"/>
  <c r="P165" i="14" s="1"/>
  <c r="O166" i="14"/>
  <c r="N166" i="14"/>
  <c r="N165" i="14" s="1"/>
  <c r="M166" i="14"/>
  <c r="V165" i="14"/>
  <c r="J164" i="14"/>
  <c r="J163" i="14"/>
  <c r="J162" i="14"/>
  <c r="T161" i="14"/>
  <c r="J161" i="14"/>
  <c r="J160" i="14" s="1"/>
  <c r="V160" i="14"/>
  <c r="U160" i="14"/>
  <c r="U142" i="14" s="1"/>
  <c r="T160" i="14"/>
  <c r="S160" i="14"/>
  <c r="R160" i="14"/>
  <c r="Q160" i="14"/>
  <c r="P160" i="14"/>
  <c r="O160" i="14"/>
  <c r="N160" i="14"/>
  <c r="M160" i="14"/>
  <c r="J159" i="14"/>
  <c r="J158" i="14"/>
  <c r="J157" i="14"/>
  <c r="V156" i="14"/>
  <c r="U156" i="14"/>
  <c r="T156" i="14"/>
  <c r="S156" i="14"/>
  <c r="R156" i="14"/>
  <c r="Q156" i="14"/>
  <c r="P156" i="14"/>
  <c r="O156" i="14"/>
  <c r="N156" i="14"/>
  <c r="M156" i="14"/>
  <c r="J155" i="14"/>
  <c r="J154" i="14"/>
  <c r="J153" i="14"/>
  <c r="T152" i="14"/>
  <c r="J152" i="14"/>
  <c r="J151" i="14"/>
  <c r="J150" i="14"/>
  <c r="J149" i="14"/>
  <c r="V148" i="14"/>
  <c r="U148" i="14"/>
  <c r="T148" i="14"/>
  <c r="S148" i="14"/>
  <c r="R148" i="14"/>
  <c r="R142" i="14" s="1"/>
  <c r="Q148" i="14"/>
  <c r="P148" i="14"/>
  <c r="P142" i="14" s="1"/>
  <c r="O148" i="14"/>
  <c r="N148" i="14"/>
  <c r="N142" i="14" s="1"/>
  <c r="M148" i="14"/>
  <c r="T147" i="14"/>
  <c r="J146" i="14"/>
  <c r="T145" i="14"/>
  <c r="J145" i="14" s="1"/>
  <c r="J144" i="14"/>
  <c r="V143" i="14"/>
  <c r="U143" i="14"/>
  <c r="S143" i="14"/>
  <c r="S142" i="14" s="1"/>
  <c r="R143" i="14"/>
  <c r="Q143" i="14"/>
  <c r="P143" i="14"/>
  <c r="O143" i="14"/>
  <c r="O142" i="14" s="1"/>
  <c r="N143" i="14"/>
  <c r="M143" i="14"/>
  <c r="L143" i="14"/>
  <c r="J141" i="14"/>
  <c r="J140" i="14"/>
  <c r="V139" i="14"/>
  <c r="U139" i="14"/>
  <c r="T139" i="14"/>
  <c r="S139" i="14"/>
  <c r="R139" i="14"/>
  <c r="Q139" i="14"/>
  <c r="P139" i="14"/>
  <c r="O139" i="14"/>
  <c r="N139" i="14"/>
  <c r="M139" i="14"/>
  <c r="J139" i="14"/>
  <c r="J138" i="14"/>
  <c r="J137" i="14"/>
  <c r="J136" i="14" s="1"/>
  <c r="V136" i="14"/>
  <c r="U136" i="14"/>
  <c r="T136" i="14"/>
  <c r="S136" i="14"/>
  <c r="R136" i="14"/>
  <c r="Q136" i="14"/>
  <c r="P136" i="14"/>
  <c r="O136" i="14"/>
  <c r="N136" i="14"/>
  <c r="M136" i="14"/>
  <c r="J135" i="14"/>
  <c r="J134" i="14"/>
  <c r="J133" i="14" s="1"/>
  <c r="V133" i="14"/>
  <c r="U133" i="14"/>
  <c r="T133" i="14"/>
  <c r="S133" i="14"/>
  <c r="R133" i="14"/>
  <c r="Q133" i="14"/>
  <c r="P133" i="14"/>
  <c r="O133" i="14"/>
  <c r="N133" i="14"/>
  <c r="M133" i="14"/>
  <c r="J132" i="14"/>
  <c r="U131" i="14"/>
  <c r="J131" i="14" s="1"/>
  <c r="R130" i="14"/>
  <c r="J130" i="14" s="1"/>
  <c r="J129" i="14"/>
  <c r="J128" i="14"/>
  <c r="V127" i="14"/>
  <c r="J127" i="14" s="1"/>
  <c r="V126" i="14"/>
  <c r="T126" i="14"/>
  <c r="S126" i="14"/>
  <c r="Q126" i="14"/>
  <c r="P126" i="14"/>
  <c r="O126" i="14"/>
  <c r="N126" i="14"/>
  <c r="M126" i="14"/>
  <c r="J125" i="14"/>
  <c r="J124" i="14"/>
  <c r="J123" i="14"/>
  <c r="R122" i="14"/>
  <c r="J121" i="14"/>
  <c r="J120" i="14"/>
  <c r="J119" i="14"/>
  <c r="J118" i="14"/>
  <c r="J117" i="14"/>
  <c r="J116" i="14"/>
  <c r="V115" i="14"/>
  <c r="U115" i="14"/>
  <c r="T115" i="14"/>
  <c r="S115" i="14"/>
  <c r="Q115" i="14"/>
  <c r="P115" i="14"/>
  <c r="O115" i="14"/>
  <c r="N115" i="14"/>
  <c r="M115" i="14"/>
  <c r="J114" i="14"/>
  <c r="J113" i="14"/>
  <c r="J112" i="14"/>
  <c r="J111" i="14"/>
  <c r="V110" i="14"/>
  <c r="U110" i="14"/>
  <c r="T110" i="14"/>
  <c r="S110" i="14"/>
  <c r="S109" i="14" s="1"/>
  <c r="R110" i="14"/>
  <c r="Q110" i="14"/>
  <c r="Q109" i="14" s="1"/>
  <c r="P110" i="14"/>
  <c r="O110" i="14"/>
  <c r="O109" i="14" s="1"/>
  <c r="N110" i="14"/>
  <c r="M110" i="14"/>
  <c r="M109" i="14" s="1"/>
  <c r="L109" i="14"/>
  <c r="J108" i="14"/>
  <c r="J107" i="14"/>
  <c r="S106" i="14"/>
  <c r="J106" i="14" s="1"/>
  <c r="J105" i="14"/>
  <c r="V104" i="14"/>
  <c r="U104" i="14"/>
  <c r="T104" i="14"/>
  <c r="R104" i="14"/>
  <c r="Q104" i="14"/>
  <c r="P104" i="14"/>
  <c r="O104" i="14"/>
  <c r="N104" i="14"/>
  <c r="M104" i="14"/>
  <c r="L104" i="14"/>
  <c r="J103" i="14"/>
  <c r="S102" i="14"/>
  <c r="J102" i="14" s="1"/>
  <c r="S101" i="14"/>
  <c r="J101" i="14" s="1"/>
  <c r="J100" i="14"/>
  <c r="J99" i="14"/>
  <c r="J98" i="14"/>
  <c r="S97" i="14"/>
  <c r="J97" i="14" s="1"/>
  <c r="J96" i="14"/>
  <c r="J95" i="14"/>
  <c r="S94" i="14"/>
  <c r="J94" i="14" s="1"/>
  <c r="J93" i="14"/>
  <c r="S92" i="14"/>
  <c r="J92" i="14" s="1"/>
  <c r="V91" i="14"/>
  <c r="U91" i="14"/>
  <c r="U67" i="14" s="1"/>
  <c r="T91" i="14"/>
  <c r="R91" i="14"/>
  <c r="Q91" i="14"/>
  <c r="P91" i="14"/>
  <c r="O91" i="14"/>
  <c r="N91" i="14"/>
  <c r="M91" i="14"/>
  <c r="J90" i="14"/>
  <c r="J89" i="14"/>
  <c r="J88" i="14"/>
  <c r="J87" i="14"/>
  <c r="V86" i="14"/>
  <c r="U86" i="14"/>
  <c r="T86" i="14"/>
  <c r="S86" i="14"/>
  <c r="R86" i="14"/>
  <c r="Q86" i="14"/>
  <c r="P86" i="14"/>
  <c r="O86" i="14"/>
  <c r="N86" i="14"/>
  <c r="M86" i="14"/>
  <c r="J85" i="14"/>
  <c r="J84" i="14"/>
  <c r="J83" i="14"/>
  <c r="J82" i="14"/>
  <c r="S81" i="14"/>
  <c r="J81" i="14" s="1"/>
  <c r="J80" i="14"/>
  <c r="J79" i="14"/>
  <c r="J78" i="14"/>
  <c r="V77" i="14"/>
  <c r="U77" i="14"/>
  <c r="T77" i="14"/>
  <c r="R77" i="14"/>
  <c r="Q77" i="14"/>
  <c r="P77" i="14"/>
  <c r="O77" i="14"/>
  <c r="N77" i="14"/>
  <c r="M77" i="14"/>
  <c r="J76" i="14"/>
  <c r="S75" i="14"/>
  <c r="J75" i="14" s="1"/>
  <c r="J74" i="14"/>
  <c r="S73" i="14"/>
  <c r="J73" i="14" s="1"/>
  <c r="R72" i="14"/>
  <c r="J72" i="14" s="1"/>
  <c r="J71" i="14"/>
  <c r="S70" i="14"/>
  <c r="J70" i="14" s="1"/>
  <c r="S69" i="14"/>
  <c r="J69" i="14" s="1"/>
  <c r="V68" i="14"/>
  <c r="U68" i="14"/>
  <c r="T68" i="14"/>
  <c r="Q68" i="14"/>
  <c r="Q67" i="14" s="1"/>
  <c r="P68" i="14"/>
  <c r="O68" i="14"/>
  <c r="O67" i="14" s="1"/>
  <c r="N68" i="14"/>
  <c r="M68" i="14"/>
  <c r="L68" i="14"/>
  <c r="P67" i="14"/>
  <c r="W66" i="14"/>
  <c r="J63" i="14"/>
  <c r="V62" i="14"/>
  <c r="U62" i="14"/>
  <c r="T62" i="14"/>
  <c r="S62" i="14"/>
  <c r="R62" i="14"/>
  <c r="Q62" i="14"/>
  <c r="P62" i="14"/>
  <c r="O62" i="14"/>
  <c r="N62" i="14"/>
  <c r="M62" i="14"/>
  <c r="L62" i="14"/>
  <c r="J62" i="14"/>
  <c r="J61" i="14"/>
  <c r="V60" i="14"/>
  <c r="U60" i="14"/>
  <c r="T60" i="14"/>
  <c r="S60" i="14"/>
  <c r="R60" i="14"/>
  <c r="Q60" i="14"/>
  <c r="P60" i="14"/>
  <c r="O60" i="14"/>
  <c r="N60" i="14"/>
  <c r="M60" i="14"/>
  <c r="L60" i="14"/>
  <c r="J60" i="14"/>
  <c r="J59" i="14"/>
  <c r="V58" i="14"/>
  <c r="U58" i="14"/>
  <c r="T58" i="14"/>
  <c r="S58" i="14"/>
  <c r="R58" i="14"/>
  <c r="Q58" i="14"/>
  <c r="P58" i="14"/>
  <c r="O58" i="14"/>
  <c r="N58" i="14"/>
  <c r="M58" i="14"/>
  <c r="L58" i="14"/>
  <c r="J58" i="14"/>
  <c r="J57" i="14"/>
  <c r="V56" i="14"/>
  <c r="U56" i="14"/>
  <c r="T56" i="14"/>
  <c r="S56" i="14"/>
  <c r="R56" i="14"/>
  <c r="Q56" i="14"/>
  <c r="P56" i="14"/>
  <c r="O56" i="14"/>
  <c r="N56" i="14"/>
  <c r="M56" i="14"/>
  <c r="L56" i="14"/>
  <c r="J56" i="14"/>
  <c r="J55" i="14"/>
  <c r="V54" i="14"/>
  <c r="U54" i="14"/>
  <c r="T54" i="14"/>
  <c r="S54" i="14"/>
  <c r="R54" i="14"/>
  <c r="Q54" i="14"/>
  <c r="P54" i="14"/>
  <c r="O54" i="14"/>
  <c r="N54" i="14"/>
  <c r="M54" i="14"/>
  <c r="L54" i="14"/>
  <c r="J54" i="14"/>
  <c r="J53" i="14"/>
  <c r="V52" i="14"/>
  <c r="U52" i="14"/>
  <c r="T52" i="14"/>
  <c r="T49" i="14" s="1"/>
  <c r="S52" i="14"/>
  <c r="R52" i="14"/>
  <c r="Q52" i="14"/>
  <c r="P52" i="14"/>
  <c r="O52" i="14"/>
  <c r="N52" i="14"/>
  <c r="M52" i="14"/>
  <c r="L52" i="14"/>
  <c r="J52" i="14"/>
  <c r="J51" i="14"/>
  <c r="V50" i="14"/>
  <c r="U50" i="14"/>
  <c r="T50" i="14"/>
  <c r="S50" i="14"/>
  <c r="R50" i="14"/>
  <c r="Q50" i="14"/>
  <c r="P50" i="14"/>
  <c r="O50" i="14"/>
  <c r="N50" i="14"/>
  <c r="M50" i="14"/>
  <c r="L50" i="14"/>
  <c r="J50" i="14"/>
  <c r="J48" i="14"/>
  <c r="U47" i="14"/>
  <c r="V46" i="14"/>
  <c r="T46" i="14"/>
  <c r="S46" i="14"/>
  <c r="R46" i="14"/>
  <c r="Q46" i="14"/>
  <c r="P46" i="14"/>
  <c r="O46" i="14"/>
  <c r="N46" i="14"/>
  <c r="M46" i="14"/>
  <c r="L46" i="14"/>
  <c r="J45" i="14"/>
  <c r="J43" i="14" s="1"/>
  <c r="J44" i="14"/>
  <c r="V43" i="14"/>
  <c r="U43" i="14"/>
  <c r="T43" i="14"/>
  <c r="S43" i="14"/>
  <c r="R43" i="14"/>
  <c r="Q43" i="14"/>
  <c r="P43" i="14"/>
  <c r="O43" i="14"/>
  <c r="N43" i="14"/>
  <c r="M43" i="14"/>
  <c r="L43" i="14"/>
  <c r="J42" i="14"/>
  <c r="V41" i="14"/>
  <c r="U41" i="14"/>
  <c r="S41" i="14"/>
  <c r="R41" i="14"/>
  <c r="Q41" i="14"/>
  <c r="P41" i="14"/>
  <c r="O41" i="14"/>
  <c r="N41" i="14"/>
  <c r="M41" i="14"/>
  <c r="L41" i="14"/>
  <c r="J41" i="14"/>
  <c r="T40" i="14"/>
  <c r="J40" i="14"/>
  <c r="V39" i="14"/>
  <c r="U39" i="14"/>
  <c r="T39" i="14"/>
  <c r="S39" i="14"/>
  <c r="S36" i="14" s="1"/>
  <c r="R39" i="14"/>
  <c r="Q39" i="14"/>
  <c r="Q36" i="14" s="1"/>
  <c r="P39" i="14"/>
  <c r="O39" i="14"/>
  <c r="O36" i="14" s="1"/>
  <c r="N39" i="14"/>
  <c r="M39" i="14"/>
  <c r="M36" i="14" s="1"/>
  <c r="L39" i="14"/>
  <c r="J39" i="14"/>
  <c r="J38" i="14"/>
  <c r="V37" i="14"/>
  <c r="U37" i="14"/>
  <c r="T37" i="14"/>
  <c r="S37" i="14"/>
  <c r="R37" i="14"/>
  <c r="Q37" i="14"/>
  <c r="P37" i="14"/>
  <c r="P36" i="14" s="1"/>
  <c r="O37" i="14"/>
  <c r="N37" i="14"/>
  <c r="M37" i="14"/>
  <c r="L37" i="14"/>
  <c r="L36" i="14" s="1"/>
  <c r="J37" i="14"/>
  <c r="T36" i="14"/>
  <c r="J35" i="14"/>
  <c r="J34" i="14"/>
  <c r="V33" i="14"/>
  <c r="U33" i="14"/>
  <c r="T33" i="14"/>
  <c r="S33" i="14"/>
  <c r="R33" i="14"/>
  <c r="Q33" i="14"/>
  <c r="P33" i="14"/>
  <c r="O33" i="14"/>
  <c r="N33" i="14"/>
  <c r="M33" i="14"/>
  <c r="L33" i="14"/>
  <c r="J32" i="14"/>
  <c r="J30" i="14" s="1"/>
  <c r="J31" i="14"/>
  <c r="V30" i="14"/>
  <c r="U30" i="14"/>
  <c r="T30" i="14"/>
  <c r="S30" i="14"/>
  <c r="R30" i="14"/>
  <c r="Q30" i="14"/>
  <c r="P30" i="14"/>
  <c r="O30" i="14"/>
  <c r="N30" i="14"/>
  <c r="M30" i="14"/>
  <c r="L30" i="14"/>
  <c r="J29" i="14"/>
  <c r="J28" i="14"/>
  <c r="J26" i="14" s="1"/>
  <c r="J27" i="14"/>
  <c r="V26" i="14"/>
  <c r="V17" i="14" s="1"/>
  <c r="V13" i="14" s="1"/>
  <c r="U26" i="14"/>
  <c r="T26" i="14"/>
  <c r="T17" i="14" s="1"/>
  <c r="S26" i="14"/>
  <c r="R26" i="14"/>
  <c r="R17" i="14" s="1"/>
  <c r="R13" i="14" s="1"/>
  <c r="Q26" i="14"/>
  <c r="P26" i="14"/>
  <c r="P17" i="14" s="1"/>
  <c r="O26" i="14"/>
  <c r="N26" i="14"/>
  <c r="N17" i="14" s="1"/>
  <c r="N13" i="14" s="1"/>
  <c r="M26" i="14"/>
  <c r="L26" i="14"/>
  <c r="L17" i="14" s="1"/>
  <c r="J25" i="14"/>
  <c r="J24" i="14"/>
  <c r="J23" i="14"/>
  <c r="J22" i="14"/>
  <c r="J21" i="14"/>
  <c r="J20" i="14"/>
  <c r="J19" i="14"/>
  <c r="J18" i="14"/>
  <c r="U17" i="14"/>
  <c r="S17" i="14"/>
  <c r="Q17" i="14"/>
  <c r="Q13" i="14" s="1"/>
  <c r="O17" i="14"/>
  <c r="M17" i="14"/>
  <c r="J16" i="14"/>
  <c r="J14" i="14" s="1"/>
  <c r="J15" i="14"/>
  <c r="V14" i="14"/>
  <c r="U14" i="14"/>
  <c r="T14" i="14"/>
  <c r="S14" i="14"/>
  <c r="R14" i="14"/>
  <c r="Q14" i="14"/>
  <c r="P14" i="14"/>
  <c r="O14" i="14"/>
  <c r="N14" i="14"/>
  <c r="M14" i="14"/>
  <c r="L14" i="14"/>
  <c r="AA12" i="14"/>
  <c r="N201" i="14" l="1"/>
  <c r="R201" i="14"/>
  <c r="V201" i="14"/>
  <c r="M13" i="14"/>
  <c r="U13" i="14"/>
  <c r="V142" i="14"/>
  <c r="P218" i="14"/>
  <c r="J17" i="14"/>
  <c r="L49" i="14"/>
  <c r="P49" i="14"/>
  <c r="J49" i="14"/>
  <c r="M49" i="14"/>
  <c r="O49" i="14"/>
  <c r="Q49" i="14"/>
  <c r="Q12" i="14" s="1"/>
  <c r="S49" i="14"/>
  <c r="U49" i="14"/>
  <c r="J68" i="14"/>
  <c r="S77" i="14"/>
  <c r="V67" i="14"/>
  <c r="J104" i="14"/>
  <c r="J202" i="14"/>
  <c r="M202" i="14"/>
  <c r="M218" i="14" s="1"/>
  <c r="O202" i="14"/>
  <c r="Q202" i="14"/>
  <c r="Q218" i="14" s="1"/>
  <c r="S202" i="14"/>
  <c r="U202" i="14"/>
  <c r="U218" i="14" s="1"/>
  <c r="L211" i="14"/>
  <c r="L218" i="14" s="1"/>
  <c r="N211" i="14"/>
  <c r="N218" i="14" s="1"/>
  <c r="P211" i="14"/>
  <c r="R211" i="14"/>
  <c r="R218" i="14" s="1"/>
  <c r="T211" i="14"/>
  <c r="T218" i="14" s="1"/>
  <c r="V211" i="14"/>
  <c r="V218" i="14" s="1"/>
  <c r="L101" i="15"/>
  <c r="N81" i="15"/>
  <c r="G131" i="15"/>
  <c r="D66" i="15"/>
  <c r="J86" i="14"/>
  <c r="M67" i="14"/>
  <c r="T67" i="14"/>
  <c r="J110" i="14"/>
  <c r="J147" i="14"/>
  <c r="J143" i="14" s="1"/>
  <c r="J142" i="14" s="1"/>
  <c r="T143" i="14"/>
  <c r="T142" i="14" s="1"/>
  <c r="J148" i="14"/>
  <c r="M142" i="14"/>
  <c r="Q142" i="14"/>
  <c r="L13" i="14"/>
  <c r="L12" i="14" s="1"/>
  <c r="L64" i="14" s="1"/>
  <c r="P13" i="14"/>
  <c r="P12" i="14" s="1"/>
  <c r="P64" i="14" s="1"/>
  <c r="T13" i="14"/>
  <c r="T12" i="14" s="1"/>
  <c r="M12" i="14"/>
  <c r="M64" i="14" s="1"/>
  <c r="J47" i="14"/>
  <c r="J46" i="14" s="1"/>
  <c r="J36" i="14" s="1"/>
  <c r="U46" i="14"/>
  <c r="U36" i="14" s="1"/>
  <c r="U12" i="14" s="1"/>
  <c r="J122" i="14"/>
  <c r="R115" i="14"/>
  <c r="T109" i="14"/>
  <c r="P109" i="14"/>
  <c r="P66" i="14" s="1"/>
  <c r="P198" i="14" s="1"/>
  <c r="J218" i="14"/>
  <c r="J201" i="14"/>
  <c r="M201" i="14"/>
  <c r="O218" i="14"/>
  <c r="O201" i="14"/>
  <c r="Q201" i="14"/>
  <c r="S218" i="14"/>
  <c r="S201" i="14"/>
  <c r="U201" i="14"/>
  <c r="O13" i="14"/>
  <c r="O12" i="14" s="1"/>
  <c r="S13" i="14"/>
  <c r="S12" i="14" s="1"/>
  <c r="J33" i="14"/>
  <c r="N36" i="14"/>
  <c r="N12" i="14" s="1"/>
  <c r="R36" i="14"/>
  <c r="V36" i="14"/>
  <c r="N49" i="14"/>
  <c r="R49" i="14"/>
  <c r="V49" i="14"/>
  <c r="N67" i="14"/>
  <c r="J91" i="14"/>
  <c r="L66" i="14"/>
  <c r="N109" i="14"/>
  <c r="V109" i="14"/>
  <c r="J115" i="14"/>
  <c r="J156" i="14"/>
  <c r="O165" i="14"/>
  <c r="S165" i="14"/>
  <c r="J166" i="14"/>
  <c r="J186" i="14"/>
  <c r="O189" i="14"/>
  <c r="S189" i="14"/>
  <c r="N131" i="15"/>
  <c r="D101" i="15"/>
  <c r="K131" i="15"/>
  <c r="L55" i="15"/>
  <c r="H131" i="15"/>
  <c r="P131" i="15"/>
  <c r="D81" i="15"/>
  <c r="D55" i="15"/>
  <c r="D13" i="15"/>
  <c r="M13" i="15"/>
  <c r="M131" i="15" s="1"/>
  <c r="L131" i="15"/>
  <c r="O131" i="15"/>
  <c r="H8" i="15"/>
  <c r="P8" i="15"/>
  <c r="M66" i="14"/>
  <c r="M198" i="14" s="1"/>
  <c r="Q66" i="14"/>
  <c r="Q198" i="14" s="1"/>
  <c r="T66" i="14"/>
  <c r="T198" i="14" s="1"/>
  <c r="M5" i="14"/>
  <c r="M199" i="14"/>
  <c r="O64" i="14"/>
  <c r="S64" i="14"/>
  <c r="J174" i="14"/>
  <c r="J189" i="14"/>
  <c r="V12" i="14"/>
  <c r="T64" i="14"/>
  <c r="J77" i="14"/>
  <c r="V66" i="14"/>
  <c r="V198" i="14" s="1"/>
  <c r="J126" i="14"/>
  <c r="R186" i="14"/>
  <c r="R165" i="14" s="1"/>
  <c r="R68" i="14"/>
  <c r="R67" i="14" s="1"/>
  <c r="S91" i="14"/>
  <c r="U126" i="14"/>
  <c r="U109" i="14" s="1"/>
  <c r="U66" i="14" s="1"/>
  <c r="U198" i="14" s="1"/>
  <c r="S68" i="14"/>
  <c r="S104" i="14"/>
  <c r="R126" i="14"/>
  <c r="R109" i="14" s="1"/>
  <c r="P130" i="13"/>
  <c r="P122" i="13"/>
  <c r="P187" i="13"/>
  <c r="P186" i="13" s="1"/>
  <c r="P181" i="13"/>
  <c r="I181" i="13" s="1"/>
  <c r="P180" i="13"/>
  <c r="I180" i="13" s="1"/>
  <c r="P179" i="13"/>
  <c r="I179" i="13" s="1"/>
  <c r="P178" i="13"/>
  <c r="I178" i="13" s="1"/>
  <c r="P176" i="13"/>
  <c r="I176" i="13" s="1"/>
  <c r="P175" i="13"/>
  <c r="P127" i="13"/>
  <c r="T127" i="13"/>
  <c r="Q106" i="13"/>
  <c r="I106" i="13" s="1"/>
  <c r="P72" i="13"/>
  <c r="Q97" i="13"/>
  <c r="I97" i="13" s="1"/>
  <c r="Q94" i="13"/>
  <c r="I94" i="13" s="1"/>
  <c r="Q92" i="13"/>
  <c r="I92" i="13" s="1"/>
  <c r="I72" i="13"/>
  <c r="Q81" i="13"/>
  <c r="I81" i="13" s="1"/>
  <c r="R161" i="13"/>
  <c r="I161" i="13" s="1"/>
  <c r="P195" i="13"/>
  <c r="I195" i="13" s="1"/>
  <c r="I194" i="13" s="1"/>
  <c r="R147" i="13"/>
  <c r="I147" i="13" s="1"/>
  <c r="R145" i="13"/>
  <c r="I145" i="13" s="1"/>
  <c r="I119" i="13"/>
  <c r="Q101" i="13"/>
  <c r="I101" i="13" s="1"/>
  <c r="I100" i="13"/>
  <c r="S47" i="13"/>
  <c r="I47" i="13" s="1"/>
  <c r="R40" i="13"/>
  <c r="I217" i="13"/>
  <c r="T216" i="13"/>
  <c r="S216" i="13"/>
  <c r="R216" i="13"/>
  <c r="Q216" i="13"/>
  <c r="P216" i="13"/>
  <c r="O216" i="13"/>
  <c r="N216" i="13"/>
  <c r="M216" i="13"/>
  <c r="L216" i="13"/>
  <c r="K216" i="13"/>
  <c r="J216" i="13"/>
  <c r="I216" i="13"/>
  <c r="I215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I213" i="13"/>
  <c r="T212" i="13"/>
  <c r="S212" i="13"/>
  <c r="R212" i="13"/>
  <c r="Q212" i="13"/>
  <c r="Q211" i="13" s="1"/>
  <c r="P212" i="13"/>
  <c r="O212" i="13"/>
  <c r="N212" i="13"/>
  <c r="M212" i="13"/>
  <c r="M211" i="13" s="1"/>
  <c r="L212" i="13"/>
  <c r="K212" i="13"/>
  <c r="J212" i="13"/>
  <c r="I212" i="13"/>
  <c r="I211" i="13" s="1"/>
  <c r="I210" i="13"/>
  <c r="T209" i="13"/>
  <c r="S209" i="13"/>
  <c r="R209" i="13"/>
  <c r="Q209" i="13"/>
  <c r="P209" i="13"/>
  <c r="O209" i="13"/>
  <c r="N209" i="13"/>
  <c r="M209" i="13"/>
  <c r="L209" i="13"/>
  <c r="K209" i="13"/>
  <c r="J209" i="13"/>
  <c r="I209" i="13"/>
  <c r="I206" i="13"/>
  <c r="T205" i="13"/>
  <c r="S205" i="13"/>
  <c r="R205" i="13"/>
  <c r="Q205" i="13"/>
  <c r="P205" i="13"/>
  <c r="O205" i="13"/>
  <c r="N205" i="13"/>
  <c r="M205" i="13"/>
  <c r="L205" i="13"/>
  <c r="K205" i="13"/>
  <c r="J205" i="13"/>
  <c r="I205" i="13"/>
  <c r="T203" i="13"/>
  <c r="S203" i="13"/>
  <c r="R203" i="13"/>
  <c r="Q203" i="13"/>
  <c r="P203" i="13"/>
  <c r="O203" i="13"/>
  <c r="N203" i="13"/>
  <c r="M203" i="13"/>
  <c r="L203" i="13"/>
  <c r="K203" i="13"/>
  <c r="J203" i="13"/>
  <c r="T194" i="13"/>
  <c r="S194" i="13"/>
  <c r="R194" i="13"/>
  <c r="Q194" i="13"/>
  <c r="O194" i="13"/>
  <c r="N194" i="13"/>
  <c r="M194" i="13"/>
  <c r="L194" i="13"/>
  <c r="K194" i="13"/>
  <c r="I193" i="13"/>
  <c r="I192" i="13" s="1"/>
  <c r="T192" i="13"/>
  <c r="S192" i="13"/>
  <c r="R192" i="13"/>
  <c r="Q192" i="13"/>
  <c r="P192" i="13"/>
  <c r="O192" i="13"/>
  <c r="N192" i="13"/>
  <c r="M192" i="13"/>
  <c r="L192" i="13"/>
  <c r="K192" i="13"/>
  <c r="I191" i="13"/>
  <c r="I190" i="13" s="1"/>
  <c r="T190" i="13"/>
  <c r="S190" i="13"/>
  <c r="S189" i="13" s="1"/>
  <c r="R190" i="13"/>
  <c r="Q190" i="13"/>
  <c r="P190" i="13"/>
  <c r="O190" i="13"/>
  <c r="N190" i="13"/>
  <c r="M190" i="13"/>
  <c r="L190" i="13"/>
  <c r="K190" i="13"/>
  <c r="I188" i="13"/>
  <c r="I187" i="13"/>
  <c r="T186" i="13"/>
  <c r="S186" i="13"/>
  <c r="R186" i="13"/>
  <c r="Q186" i="13"/>
  <c r="O186" i="13"/>
  <c r="N186" i="13"/>
  <c r="M186" i="13"/>
  <c r="L186" i="13"/>
  <c r="K186" i="13"/>
  <c r="I185" i="13"/>
  <c r="I184" i="13"/>
  <c r="T183" i="13"/>
  <c r="S183" i="13"/>
  <c r="R183" i="13"/>
  <c r="Q183" i="13"/>
  <c r="P183" i="13"/>
  <c r="O183" i="13"/>
  <c r="N183" i="13"/>
  <c r="M183" i="13"/>
  <c r="L183" i="13"/>
  <c r="K183" i="13"/>
  <c r="I182" i="13"/>
  <c r="I177" i="13"/>
  <c r="I175" i="13"/>
  <c r="T174" i="13"/>
  <c r="S174" i="13"/>
  <c r="R174" i="13"/>
  <c r="Q174" i="13"/>
  <c r="O174" i="13"/>
  <c r="N174" i="13"/>
  <c r="M174" i="13"/>
  <c r="L174" i="13"/>
  <c r="K174" i="13"/>
  <c r="J174" i="13"/>
  <c r="J165" i="13" s="1"/>
  <c r="I173" i="13"/>
  <c r="I172" i="13"/>
  <c r="I171" i="13"/>
  <c r="T170" i="13"/>
  <c r="S170" i="13"/>
  <c r="R170" i="13"/>
  <c r="Q170" i="13"/>
  <c r="P170" i="13"/>
  <c r="O170" i="13"/>
  <c r="N170" i="13"/>
  <c r="M170" i="13"/>
  <c r="L170" i="13"/>
  <c r="K170" i="13"/>
  <c r="I169" i="13"/>
  <c r="I168" i="13"/>
  <c r="I167" i="13"/>
  <c r="T166" i="13"/>
  <c r="S166" i="13"/>
  <c r="R166" i="13"/>
  <c r="Q166" i="13"/>
  <c r="P166" i="13"/>
  <c r="O166" i="13"/>
  <c r="N166" i="13"/>
  <c r="M166" i="13"/>
  <c r="L166" i="13"/>
  <c r="K166" i="13"/>
  <c r="I164" i="13"/>
  <c r="I163" i="13"/>
  <c r="I162" i="13"/>
  <c r="T160" i="13"/>
  <c r="S160" i="13"/>
  <c r="Q160" i="13"/>
  <c r="P160" i="13"/>
  <c r="O160" i="13"/>
  <c r="N160" i="13"/>
  <c r="M160" i="13"/>
  <c r="L160" i="13"/>
  <c r="K160" i="13"/>
  <c r="I159" i="13"/>
  <c r="I158" i="13"/>
  <c r="I157" i="13"/>
  <c r="T156" i="13"/>
  <c r="S156" i="13"/>
  <c r="Q156" i="13"/>
  <c r="P156" i="13"/>
  <c r="O156" i="13"/>
  <c r="N156" i="13"/>
  <c r="M156" i="13"/>
  <c r="L156" i="13"/>
  <c r="K156" i="13"/>
  <c r="I155" i="13"/>
  <c r="I154" i="13"/>
  <c r="I153" i="13"/>
  <c r="R152" i="13"/>
  <c r="I152" i="13" s="1"/>
  <c r="I151" i="13"/>
  <c r="I150" i="13"/>
  <c r="I149" i="13"/>
  <c r="T148" i="13"/>
  <c r="S148" i="13"/>
  <c r="Q148" i="13"/>
  <c r="P148" i="13"/>
  <c r="O148" i="13"/>
  <c r="N148" i="13"/>
  <c r="M148" i="13"/>
  <c r="L148" i="13"/>
  <c r="K148" i="13"/>
  <c r="I146" i="13"/>
  <c r="I144" i="13"/>
  <c r="T143" i="13"/>
  <c r="Q143" i="13"/>
  <c r="Q142" i="13" s="1"/>
  <c r="P143" i="13"/>
  <c r="O143" i="13"/>
  <c r="N143" i="13"/>
  <c r="M143" i="13"/>
  <c r="L143" i="13"/>
  <c r="K143" i="13"/>
  <c r="J143" i="13"/>
  <c r="M142" i="13"/>
  <c r="I141" i="13"/>
  <c r="I140" i="13"/>
  <c r="T139" i="13"/>
  <c r="S139" i="13"/>
  <c r="R139" i="13"/>
  <c r="Q139" i="13"/>
  <c r="P139" i="13"/>
  <c r="O139" i="13"/>
  <c r="N139" i="13"/>
  <c r="M139" i="13"/>
  <c r="L139" i="13"/>
  <c r="K139" i="13"/>
  <c r="I138" i="13"/>
  <c r="I137" i="13"/>
  <c r="I136" i="13" s="1"/>
  <c r="T136" i="13"/>
  <c r="S136" i="13"/>
  <c r="R136" i="13"/>
  <c r="Q136" i="13"/>
  <c r="P136" i="13"/>
  <c r="O136" i="13"/>
  <c r="N136" i="13"/>
  <c r="M136" i="13"/>
  <c r="L136" i="13"/>
  <c r="K136" i="13"/>
  <c r="I135" i="13"/>
  <c r="I134" i="13"/>
  <c r="T133" i="13"/>
  <c r="S133" i="13"/>
  <c r="R133" i="13"/>
  <c r="Q133" i="13"/>
  <c r="O133" i="13"/>
  <c r="N133" i="13"/>
  <c r="M133" i="13"/>
  <c r="L133" i="13"/>
  <c r="K133" i="13"/>
  <c r="I132" i="13"/>
  <c r="S131" i="13"/>
  <c r="I131" i="13" s="1"/>
  <c r="I130" i="13"/>
  <c r="I129" i="13"/>
  <c r="P128" i="13"/>
  <c r="I128" i="13" s="1"/>
  <c r="T126" i="13"/>
  <c r="R126" i="13"/>
  <c r="Q126" i="13"/>
  <c r="O126" i="13"/>
  <c r="N126" i="13"/>
  <c r="M126" i="13"/>
  <c r="L126" i="13"/>
  <c r="K126" i="13"/>
  <c r="I125" i="13"/>
  <c r="I124" i="13"/>
  <c r="I123" i="13"/>
  <c r="I122" i="13"/>
  <c r="I121" i="13"/>
  <c r="I120" i="13"/>
  <c r="I118" i="13"/>
  <c r="I117" i="13"/>
  <c r="I116" i="13"/>
  <c r="T115" i="13"/>
  <c r="S115" i="13"/>
  <c r="R115" i="13"/>
  <c r="Q115" i="13"/>
  <c r="P115" i="13"/>
  <c r="O115" i="13"/>
  <c r="N115" i="13"/>
  <c r="M115" i="13"/>
  <c r="L115" i="13"/>
  <c r="K115" i="13"/>
  <c r="I114" i="13"/>
  <c r="I113" i="13"/>
  <c r="I112" i="13"/>
  <c r="I111" i="13"/>
  <c r="T110" i="13"/>
  <c r="S110" i="13"/>
  <c r="R110" i="13"/>
  <c r="Q110" i="13"/>
  <c r="P110" i="13"/>
  <c r="O110" i="13"/>
  <c r="N110" i="13"/>
  <c r="M110" i="13"/>
  <c r="L110" i="13"/>
  <c r="K110" i="13"/>
  <c r="J109" i="13"/>
  <c r="I108" i="13"/>
  <c r="Q104" i="13"/>
  <c r="I105" i="13"/>
  <c r="T104" i="13"/>
  <c r="S104" i="13"/>
  <c r="R104" i="13"/>
  <c r="P104" i="13"/>
  <c r="O104" i="13"/>
  <c r="N104" i="13"/>
  <c r="M104" i="13"/>
  <c r="L104" i="13"/>
  <c r="K104" i="13"/>
  <c r="J104" i="13"/>
  <c r="I103" i="13"/>
  <c r="Q102" i="13"/>
  <c r="I102" i="13" s="1"/>
  <c r="I99" i="13"/>
  <c r="I98" i="13"/>
  <c r="I96" i="13"/>
  <c r="I95" i="13"/>
  <c r="I93" i="13"/>
  <c r="T91" i="13"/>
  <c r="S91" i="13"/>
  <c r="R91" i="13"/>
  <c r="P91" i="13"/>
  <c r="O91" i="13"/>
  <c r="N91" i="13"/>
  <c r="M91" i="13"/>
  <c r="L91" i="13"/>
  <c r="K91" i="13"/>
  <c r="I90" i="13"/>
  <c r="I89" i="13"/>
  <c r="I88" i="13"/>
  <c r="I87" i="13"/>
  <c r="T86" i="13"/>
  <c r="S86" i="13"/>
  <c r="R86" i="13"/>
  <c r="Q86" i="13"/>
  <c r="P86" i="13"/>
  <c r="O86" i="13"/>
  <c r="N86" i="13"/>
  <c r="M86" i="13"/>
  <c r="L86" i="13"/>
  <c r="K86" i="13"/>
  <c r="I85" i="13"/>
  <c r="I84" i="13"/>
  <c r="I83" i="13"/>
  <c r="I82" i="13"/>
  <c r="I80" i="13"/>
  <c r="I79" i="13"/>
  <c r="I78" i="13"/>
  <c r="T77" i="13"/>
  <c r="S77" i="13"/>
  <c r="R77" i="13"/>
  <c r="P77" i="13"/>
  <c r="O77" i="13"/>
  <c r="N77" i="13"/>
  <c r="M77" i="13"/>
  <c r="L77" i="13"/>
  <c r="K77" i="13"/>
  <c r="I76" i="13"/>
  <c r="Q75" i="13"/>
  <c r="I75" i="13" s="1"/>
  <c r="I74" i="13"/>
  <c r="Q73" i="13"/>
  <c r="I73" i="13" s="1"/>
  <c r="I71" i="13"/>
  <c r="Q70" i="13"/>
  <c r="I70" i="13" s="1"/>
  <c r="Q69" i="13"/>
  <c r="I69" i="13" s="1"/>
  <c r="T68" i="13"/>
  <c r="S68" i="13"/>
  <c r="R68" i="13"/>
  <c r="P68" i="13"/>
  <c r="O68" i="13"/>
  <c r="N68" i="13"/>
  <c r="M68" i="13"/>
  <c r="L68" i="13"/>
  <c r="K68" i="13"/>
  <c r="J68" i="13"/>
  <c r="U66" i="13"/>
  <c r="I63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I61" i="13"/>
  <c r="I60" i="13" s="1"/>
  <c r="T60" i="13"/>
  <c r="S60" i="13"/>
  <c r="R60" i="13"/>
  <c r="Q60" i="13"/>
  <c r="P60" i="13"/>
  <c r="O60" i="13"/>
  <c r="N60" i="13"/>
  <c r="M60" i="13"/>
  <c r="L60" i="13"/>
  <c r="K60" i="13"/>
  <c r="J60" i="13"/>
  <c r="I59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I57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I55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I53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I51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I48" i="13"/>
  <c r="T46" i="13"/>
  <c r="R46" i="13"/>
  <c r="Q46" i="13"/>
  <c r="P46" i="13"/>
  <c r="O46" i="13"/>
  <c r="N46" i="13"/>
  <c r="M46" i="13"/>
  <c r="L46" i="13"/>
  <c r="K46" i="13"/>
  <c r="J46" i="13"/>
  <c r="I45" i="13"/>
  <c r="I44" i="13"/>
  <c r="T43" i="13"/>
  <c r="S43" i="13"/>
  <c r="R43" i="13"/>
  <c r="Q43" i="13"/>
  <c r="P43" i="13"/>
  <c r="O43" i="13"/>
  <c r="N43" i="13"/>
  <c r="M43" i="13"/>
  <c r="L43" i="13"/>
  <c r="K43" i="13"/>
  <c r="J43" i="13"/>
  <c r="I42" i="13"/>
  <c r="I41" i="13" s="1"/>
  <c r="T41" i="13"/>
  <c r="S41" i="13"/>
  <c r="Q41" i="13"/>
  <c r="P41" i="13"/>
  <c r="O41" i="13"/>
  <c r="N41" i="13"/>
  <c r="M41" i="13"/>
  <c r="L41" i="13"/>
  <c r="K41" i="13"/>
  <c r="J41" i="13"/>
  <c r="I40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I38" i="13"/>
  <c r="T37" i="13"/>
  <c r="S37" i="13"/>
  <c r="R37" i="13"/>
  <c r="Q37" i="13"/>
  <c r="Q36" i="13" s="1"/>
  <c r="P37" i="13"/>
  <c r="O37" i="13"/>
  <c r="N37" i="13"/>
  <c r="M37" i="13"/>
  <c r="L37" i="13"/>
  <c r="K37" i="13"/>
  <c r="J37" i="13"/>
  <c r="I37" i="13"/>
  <c r="I35" i="13"/>
  <c r="I34" i="13"/>
  <c r="T33" i="13"/>
  <c r="S33" i="13"/>
  <c r="R33" i="13"/>
  <c r="Q33" i="13"/>
  <c r="P33" i="13"/>
  <c r="O33" i="13"/>
  <c r="N33" i="13"/>
  <c r="M33" i="13"/>
  <c r="L33" i="13"/>
  <c r="K33" i="13"/>
  <c r="J33" i="13"/>
  <c r="I32" i="13"/>
  <c r="I31" i="13"/>
  <c r="T30" i="13"/>
  <c r="S30" i="13"/>
  <c r="R30" i="13"/>
  <c r="Q30" i="13"/>
  <c r="P30" i="13"/>
  <c r="O30" i="13"/>
  <c r="N30" i="13"/>
  <c r="M30" i="13"/>
  <c r="L30" i="13"/>
  <c r="K30" i="13"/>
  <c r="J30" i="13"/>
  <c r="I29" i="13"/>
  <c r="I28" i="13"/>
  <c r="I27" i="13"/>
  <c r="T26" i="13"/>
  <c r="T17" i="13" s="1"/>
  <c r="S26" i="13"/>
  <c r="S17" i="13" s="1"/>
  <c r="R26" i="13"/>
  <c r="R17" i="13" s="1"/>
  <c r="Q26" i="13"/>
  <c r="Q17" i="13" s="1"/>
  <c r="P26" i="13"/>
  <c r="P17" i="13" s="1"/>
  <c r="O26" i="13"/>
  <c r="O17" i="13" s="1"/>
  <c r="N26" i="13"/>
  <c r="N17" i="13" s="1"/>
  <c r="M26" i="13"/>
  <c r="M17" i="13" s="1"/>
  <c r="L26" i="13"/>
  <c r="L17" i="13" s="1"/>
  <c r="K26" i="13"/>
  <c r="K17" i="13" s="1"/>
  <c r="J26" i="13"/>
  <c r="J17" i="13" s="1"/>
  <c r="I25" i="13"/>
  <c r="I24" i="13"/>
  <c r="I23" i="13"/>
  <c r="I22" i="13"/>
  <c r="I21" i="13"/>
  <c r="I20" i="13"/>
  <c r="I19" i="13"/>
  <c r="I18" i="13"/>
  <c r="I16" i="13"/>
  <c r="I15" i="13"/>
  <c r="T14" i="13"/>
  <c r="S14" i="13"/>
  <c r="R14" i="13"/>
  <c r="Q14" i="13"/>
  <c r="P14" i="13"/>
  <c r="O14" i="13"/>
  <c r="N14" i="13"/>
  <c r="M14" i="13"/>
  <c r="L14" i="13"/>
  <c r="K14" i="13"/>
  <c r="J14" i="13"/>
  <c r="Y12" i="13"/>
  <c r="Q5" i="14" l="1"/>
  <c r="Q199" i="14"/>
  <c r="Q64" i="14"/>
  <c r="O66" i="14"/>
  <c r="O198" i="14" s="1"/>
  <c r="R12" i="14"/>
  <c r="J13" i="14"/>
  <c r="J12" i="14" s="1"/>
  <c r="J64" i="14" s="1"/>
  <c r="D131" i="15"/>
  <c r="K8" i="15"/>
  <c r="M8" i="15"/>
  <c r="L8" i="15"/>
  <c r="R148" i="13"/>
  <c r="S46" i="13"/>
  <c r="L189" i="13"/>
  <c r="T189" i="13"/>
  <c r="J202" i="13"/>
  <c r="J218" i="13" s="1"/>
  <c r="L202" i="13"/>
  <c r="L201" i="13" s="1"/>
  <c r="R143" i="13"/>
  <c r="J109" i="14"/>
  <c r="J67" i="14"/>
  <c r="J66" i="14" s="1"/>
  <c r="P5" i="14"/>
  <c r="P199" i="14"/>
  <c r="J165" i="14"/>
  <c r="O5" i="14"/>
  <c r="G8" i="15"/>
  <c r="N66" i="14"/>
  <c r="N198" i="14" s="1"/>
  <c r="D8" i="15"/>
  <c r="U8" i="15" s="1"/>
  <c r="I131" i="15"/>
  <c r="I8" i="15"/>
  <c r="O8" i="15"/>
  <c r="N8" i="15"/>
  <c r="J131" i="15"/>
  <c r="J8" i="15"/>
  <c r="T199" i="14"/>
  <c r="T5" i="14"/>
  <c r="R66" i="14"/>
  <c r="R198" i="14" s="1"/>
  <c r="S67" i="14"/>
  <c r="S66" i="14" s="1"/>
  <c r="N199" i="14"/>
  <c r="N64" i="14"/>
  <c r="V5" i="14"/>
  <c r="V199" i="14"/>
  <c r="V64" i="14"/>
  <c r="R64" i="14"/>
  <c r="U5" i="14"/>
  <c r="U64" i="14"/>
  <c r="U199" i="14"/>
  <c r="P174" i="13"/>
  <c r="P165" i="13" s="1"/>
  <c r="K165" i="13"/>
  <c r="O165" i="13"/>
  <c r="S165" i="13"/>
  <c r="J36" i="13"/>
  <c r="N67" i="13"/>
  <c r="P67" i="13"/>
  <c r="J211" i="13"/>
  <c r="R211" i="13"/>
  <c r="J66" i="13"/>
  <c r="I139" i="13"/>
  <c r="I183" i="13"/>
  <c r="P133" i="13"/>
  <c r="L165" i="13"/>
  <c r="T165" i="13"/>
  <c r="R165" i="13"/>
  <c r="M189" i="13"/>
  <c r="Q189" i="13"/>
  <c r="K189" i="13"/>
  <c r="N211" i="13"/>
  <c r="S143" i="13"/>
  <c r="S142" i="13" s="1"/>
  <c r="I46" i="13"/>
  <c r="N36" i="13"/>
  <c r="L36" i="13"/>
  <c r="P36" i="13"/>
  <c r="K36" i="13"/>
  <c r="O36" i="13"/>
  <c r="S36" i="13"/>
  <c r="Q49" i="13"/>
  <c r="T67" i="13"/>
  <c r="N142" i="13"/>
  <c r="I143" i="13"/>
  <c r="N189" i="13"/>
  <c r="O189" i="13"/>
  <c r="P194" i="13"/>
  <c r="P189" i="13" s="1"/>
  <c r="M36" i="13"/>
  <c r="M49" i="13"/>
  <c r="K109" i="13"/>
  <c r="O109" i="13"/>
  <c r="I110" i="13"/>
  <c r="I160" i="13"/>
  <c r="N165" i="13"/>
  <c r="I174" i="13"/>
  <c r="P202" i="13"/>
  <c r="P201" i="13" s="1"/>
  <c r="T202" i="13"/>
  <c r="I127" i="13"/>
  <c r="I126" i="13" s="1"/>
  <c r="T142" i="13"/>
  <c r="I166" i="13"/>
  <c r="I170" i="13"/>
  <c r="M202" i="13"/>
  <c r="M201" i="13" s="1"/>
  <c r="Q202" i="13"/>
  <c r="Q201" i="13" s="1"/>
  <c r="K211" i="13"/>
  <c r="O211" i="13"/>
  <c r="S211" i="13"/>
  <c r="I133" i="13"/>
  <c r="I115" i="13"/>
  <c r="I33" i="13"/>
  <c r="N109" i="13"/>
  <c r="R109" i="13"/>
  <c r="M218" i="13"/>
  <c r="J13" i="13"/>
  <c r="N13" i="13"/>
  <c r="R13" i="13"/>
  <c r="O13" i="13"/>
  <c r="Q13" i="13"/>
  <c r="J49" i="13"/>
  <c r="R49" i="13"/>
  <c r="L109" i="13"/>
  <c r="T109" i="13"/>
  <c r="S126" i="13"/>
  <c r="S109" i="13" s="1"/>
  <c r="L142" i="13"/>
  <c r="P142" i="13"/>
  <c r="R160" i="13"/>
  <c r="I186" i="13"/>
  <c r="M13" i="13"/>
  <c r="N49" i="13"/>
  <c r="I86" i="13"/>
  <c r="I30" i="13"/>
  <c r="L67" i="13"/>
  <c r="P126" i="13"/>
  <c r="K142" i="13"/>
  <c r="O142" i="13"/>
  <c r="I148" i="13"/>
  <c r="M165" i="13"/>
  <c r="Q165" i="13"/>
  <c r="I204" i="13"/>
  <c r="I203" i="13" s="1"/>
  <c r="I202" i="13" s="1"/>
  <c r="K202" i="13"/>
  <c r="K218" i="13" s="1"/>
  <c r="O202" i="13"/>
  <c r="O201" i="13" s="1"/>
  <c r="S202" i="13"/>
  <c r="S218" i="13" s="1"/>
  <c r="N202" i="13"/>
  <c r="N201" i="13" s="1"/>
  <c r="R202" i="13"/>
  <c r="T36" i="13"/>
  <c r="L13" i="13"/>
  <c r="P13" i="13"/>
  <c r="T13" i="13"/>
  <c r="R36" i="13"/>
  <c r="L49" i="13"/>
  <c r="P49" i="13"/>
  <c r="T49" i="13"/>
  <c r="K49" i="13"/>
  <c r="S49" i="13"/>
  <c r="R67" i="13"/>
  <c r="I189" i="13"/>
  <c r="S13" i="13"/>
  <c r="M109" i="13"/>
  <c r="Q109" i="13"/>
  <c r="R189" i="13"/>
  <c r="L211" i="13"/>
  <c r="L218" i="13" s="1"/>
  <c r="P211" i="13"/>
  <c r="P218" i="13" s="1"/>
  <c r="T211" i="13"/>
  <c r="I14" i="13"/>
  <c r="I26" i="13"/>
  <c r="I17" i="13" s="1"/>
  <c r="I43" i="13"/>
  <c r="I36" i="13" s="1"/>
  <c r="M67" i="13"/>
  <c r="I91" i="13"/>
  <c r="S67" i="13"/>
  <c r="I49" i="13"/>
  <c r="K67" i="13"/>
  <c r="O67" i="13"/>
  <c r="I77" i="13"/>
  <c r="O49" i="13"/>
  <c r="K13" i="13"/>
  <c r="K12" i="13" s="1"/>
  <c r="S12" i="13"/>
  <c r="I156" i="13"/>
  <c r="T12" i="13"/>
  <c r="T64" i="13" s="1"/>
  <c r="I68" i="13"/>
  <c r="K201" i="13"/>
  <c r="O218" i="13"/>
  <c r="N218" i="13"/>
  <c r="R201" i="13"/>
  <c r="Q68" i="13"/>
  <c r="Q77" i="13"/>
  <c r="Q91" i="13"/>
  <c r="I107" i="13"/>
  <c r="I104" i="13" s="1"/>
  <c r="R156" i="13"/>
  <c r="J198" i="14" l="1"/>
  <c r="J199" i="14"/>
  <c r="J5" i="14"/>
  <c r="AA5" i="14" s="1"/>
  <c r="T218" i="13"/>
  <c r="T201" i="13"/>
  <c r="O66" i="13"/>
  <c r="O198" i="13" s="1"/>
  <c r="R218" i="13"/>
  <c r="M12" i="13"/>
  <c r="M64" i="13" s="1"/>
  <c r="R142" i="13"/>
  <c r="Q12" i="13"/>
  <c r="Q64" i="13" s="1"/>
  <c r="J201" i="13"/>
  <c r="N5" i="14"/>
  <c r="O199" i="14"/>
  <c r="S201" i="13"/>
  <c r="N12" i="13"/>
  <c r="R5" i="14"/>
  <c r="R199" i="14"/>
  <c r="S198" i="14"/>
  <c r="S5" i="14"/>
  <c r="S199" i="14"/>
  <c r="I165" i="13"/>
  <c r="P109" i="13"/>
  <c r="P66" i="13" s="1"/>
  <c r="P198" i="13" s="1"/>
  <c r="T66" i="13"/>
  <c r="T5" i="13" s="1"/>
  <c r="M66" i="13"/>
  <c r="M198" i="13" s="1"/>
  <c r="O12" i="13"/>
  <c r="I13" i="13"/>
  <c r="I12" i="13" s="1"/>
  <c r="I64" i="13" s="1"/>
  <c r="P12" i="13"/>
  <c r="P64" i="13" s="1"/>
  <c r="Q218" i="13"/>
  <c r="I109" i="13"/>
  <c r="L12" i="13"/>
  <c r="L64" i="13" s="1"/>
  <c r="R12" i="13"/>
  <c r="R64" i="13" s="1"/>
  <c r="I142" i="13"/>
  <c r="N66" i="13"/>
  <c r="N198" i="13" s="1"/>
  <c r="K66" i="13"/>
  <c r="K198" i="13" s="1"/>
  <c r="L66" i="13"/>
  <c r="L198" i="13" s="1"/>
  <c r="S66" i="13"/>
  <c r="S198" i="13" s="1"/>
  <c r="R66" i="13"/>
  <c r="R198" i="13" s="1"/>
  <c r="I218" i="13"/>
  <c r="I201" i="13"/>
  <c r="J12" i="13"/>
  <c r="J64" i="13" s="1"/>
  <c r="N199" i="13"/>
  <c r="N64" i="13"/>
  <c r="S64" i="13"/>
  <c r="K64" i="13"/>
  <c r="Q67" i="13"/>
  <c r="Q66" i="13" s="1"/>
  <c r="I67" i="13"/>
  <c r="O199" i="13" l="1"/>
  <c r="N5" i="13"/>
  <c r="L5" i="13"/>
  <c r="T199" i="13"/>
  <c r="T198" i="13"/>
  <c r="P5" i="13"/>
  <c r="P199" i="13"/>
  <c r="O64" i="13"/>
  <c r="M199" i="13"/>
  <c r="M5" i="13"/>
  <c r="I66" i="13"/>
  <c r="I199" i="13" s="1"/>
  <c r="K199" i="13"/>
  <c r="O5" i="13"/>
  <c r="K5" i="13"/>
  <c r="S199" i="13"/>
  <c r="R5" i="13"/>
  <c r="R199" i="13"/>
  <c r="S5" i="13"/>
  <c r="L199" i="13"/>
  <c r="Q198" i="13"/>
  <c r="Q199" i="13"/>
  <c r="Q5" i="13"/>
  <c r="I198" i="13" l="1"/>
  <c r="I5" i="13"/>
  <c r="Y5" i="13" s="1"/>
  <c r="F54" i="11" l="1"/>
  <c r="F53" i="11"/>
  <c r="G30" i="12"/>
  <c r="G63" i="12"/>
  <c r="G60" i="12" s="1"/>
  <c r="G61" i="12"/>
  <c r="G117" i="12"/>
  <c r="G115" i="12"/>
  <c r="G113" i="12"/>
  <c r="G110" i="12"/>
  <c r="G107" i="12"/>
  <c r="G99" i="12"/>
  <c r="G96" i="12"/>
  <c r="G92" i="12"/>
  <c r="G87" i="12"/>
  <c r="G81" i="12"/>
  <c r="G75" i="12"/>
  <c r="G72" i="12"/>
  <c r="G69" i="12"/>
  <c r="G67" i="12"/>
  <c r="G65" i="12"/>
  <c r="G51" i="12"/>
  <c r="G46" i="12"/>
  <c r="G42" i="12"/>
  <c r="M26" i="12"/>
  <c r="G26" i="12"/>
  <c r="G20" i="12"/>
  <c r="G12" i="12"/>
  <c r="F69" i="11"/>
  <c r="F67" i="11"/>
  <c r="F65" i="11"/>
  <c r="F63" i="11"/>
  <c r="F61" i="11"/>
  <c r="F59" i="11"/>
  <c r="F57" i="11"/>
  <c r="F50" i="11"/>
  <c r="F48" i="11"/>
  <c r="F46" i="11"/>
  <c r="F44" i="11"/>
  <c r="F40" i="11"/>
  <c r="F37" i="11"/>
  <c r="F33" i="11"/>
  <c r="F31" i="11"/>
  <c r="F24" i="11" s="1"/>
  <c r="F20" i="11" s="1"/>
  <c r="F21" i="11"/>
  <c r="G11" i="12" l="1"/>
  <c r="G112" i="12"/>
  <c r="G91" i="12"/>
  <c r="G71" i="12"/>
  <c r="G45" i="12"/>
  <c r="F56" i="11"/>
  <c r="F43" i="11"/>
  <c r="G117" i="10"/>
  <c r="G115" i="10"/>
  <c r="G113" i="10"/>
  <c r="G110" i="10"/>
  <c r="G107" i="10"/>
  <c r="G99" i="10"/>
  <c r="G96" i="10"/>
  <c r="G92" i="10"/>
  <c r="G87" i="10"/>
  <c r="G81" i="10"/>
  <c r="G75" i="10"/>
  <c r="G72" i="10"/>
  <c r="G69" i="10"/>
  <c r="G67" i="10"/>
  <c r="G65" i="10"/>
  <c r="G63" i="10"/>
  <c r="G60" i="10" s="1"/>
  <c r="G51" i="10"/>
  <c r="G46" i="10"/>
  <c r="G42" i="10"/>
  <c r="G30" i="10"/>
  <c r="M26" i="10"/>
  <c r="G26" i="10"/>
  <c r="G20" i="10"/>
  <c r="G12" i="10"/>
  <c r="G83" i="9"/>
  <c r="G81" i="9"/>
  <c r="G79" i="9"/>
  <c r="G78" i="9" s="1"/>
  <c r="G76" i="9"/>
  <c r="G74" i="9"/>
  <c r="G70" i="9"/>
  <c r="G67" i="9"/>
  <c r="G64" i="9"/>
  <c r="G59" i="9"/>
  <c r="G57" i="9"/>
  <c r="G54" i="9"/>
  <c r="G52" i="9"/>
  <c r="G50" i="9"/>
  <c r="G46" i="9"/>
  <c r="G37" i="9"/>
  <c r="G34" i="9"/>
  <c r="G30" i="9"/>
  <c r="G23" i="9"/>
  <c r="G20" i="9"/>
  <c r="G13" i="9"/>
  <c r="G119" i="8"/>
  <c r="G117" i="8"/>
  <c r="G115" i="8"/>
  <c r="G112" i="8"/>
  <c r="G109" i="8"/>
  <c r="G101" i="8"/>
  <c r="G98" i="8"/>
  <c r="G94" i="8"/>
  <c r="G89" i="8"/>
  <c r="G83" i="8"/>
  <c r="G77" i="8"/>
  <c r="G73" i="8"/>
  <c r="G70" i="8"/>
  <c r="G68" i="8"/>
  <c r="G66" i="8"/>
  <c r="G63" i="8"/>
  <c r="G60" i="8" s="1"/>
  <c r="G51" i="8"/>
  <c r="G46" i="8"/>
  <c r="G42" i="8"/>
  <c r="G30" i="8"/>
  <c r="M26" i="8"/>
  <c r="G26" i="8"/>
  <c r="G20" i="8"/>
  <c r="G12" i="8"/>
  <c r="Q653" i="7"/>
  <c r="Q651" i="7"/>
  <c r="Q649" i="7"/>
  <c r="K646" i="7"/>
  <c r="K645" i="7"/>
  <c r="L645" i="7" s="1"/>
  <c r="Q644" i="7"/>
  <c r="L643" i="7"/>
  <c r="Q643" i="7" s="1"/>
  <c r="J643" i="7"/>
  <c r="F643" i="7"/>
  <c r="K642" i="7"/>
  <c r="Q642" i="7" s="1"/>
  <c r="Q641" i="7"/>
  <c r="Q640" i="7"/>
  <c r="Q639" i="7"/>
  <c r="K638" i="7"/>
  <c r="Q638" i="7" s="1"/>
  <c r="Q637" i="7"/>
  <c r="K636" i="7"/>
  <c r="Q636" i="7" s="1"/>
  <c r="Q635" i="7"/>
  <c r="Q634" i="7"/>
  <c r="K634" i="7"/>
  <c r="Q633" i="7"/>
  <c r="Q632" i="7"/>
  <c r="Q631" i="7"/>
  <c r="Q630" i="7"/>
  <c r="I630" i="7"/>
  <c r="Q629" i="7"/>
  <c r="Q628" i="7"/>
  <c r="Q627" i="7"/>
  <c r="Q626" i="7"/>
  <c r="I626" i="7"/>
  <c r="I627" i="7" s="1"/>
  <c r="Q625" i="7"/>
  <c r="K624" i="7"/>
  <c r="Q624" i="7" s="1"/>
  <c r="Q623" i="7"/>
  <c r="Q622" i="7"/>
  <c r="Q621" i="7"/>
  <c r="Q620" i="7"/>
  <c r="Q619" i="7"/>
  <c r="Q618" i="7"/>
  <c r="Q617" i="7"/>
  <c r="K616" i="7"/>
  <c r="Q616" i="7" s="1"/>
  <c r="J616" i="7"/>
  <c r="K615" i="7"/>
  <c r="Q615" i="7" s="1"/>
  <c r="Q614" i="7"/>
  <c r="Q613" i="7"/>
  <c r="Q612" i="7"/>
  <c r="Q611" i="7"/>
  <c r="Q610" i="7"/>
  <c r="K609" i="7"/>
  <c r="Q609" i="7" s="1"/>
  <c r="Q608" i="7"/>
  <c r="Q607" i="7"/>
  <c r="Q606" i="7"/>
  <c r="Q605" i="7"/>
  <c r="Q604" i="7"/>
  <c r="Q603" i="7"/>
  <c r="Q602" i="7"/>
  <c r="Q601" i="7"/>
  <c r="Q600" i="7"/>
  <c r="Q599" i="7"/>
  <c r="Q598" i="7"/>
  <c r="Q597" i="7"/>
  <c r="Q596" i="7"/>
  <c r="Q595" i="7"/>
  <c r="Q594" i="7"/>
  <c r="Q593" i="7"/>
  <c r="Q592" i="7"/>
  <c r="Q591" i="7"/>
  <c r="Q590" i="7"/>
  <c r="K589" i="7"/>
  <c r="Q589" i="7" s="1"/>
  <c r="Q588" i="7"/>
  <c r="Q587" i="7"/>
  <c r="Q586" i="7"/>
  <c r="L585" i="7"/>
  <c r="Q585" i="7" s="1"/>
  <c r="Q584" i="7"/>
  <c r="L583" i="7"/>
  <c r="Q583" i="7" s="1"/>
  <c r="Q582" i="7"/>
  <c r="Q581" i="7"/>
  <c r="Q580" i="7"/>
  <c r="K579" i="7"/>
  <c r="Q579" i="7" s="1"/>
  <c r="Q578" i="7"/>
  <c r="K577" i="7"/>
  <c r="Q576" i="7"/>
  <c r="Q575" i="7"/>
  <c r="Q574" i="7"/>
  <c r="K573" i="7"/>
  <c r="Q573" i="7" s="1"/>
  <c r="L572" i="7"/>
  <c r="Q572" i="7" s="1"/>
  <c r="Q571" i="7"/>
  <c r="K570" i="7"/>
  <c r="Q570" i="7" s="1"/>
  <c r="K569" i="7"/>
  <c r="Q569" i="7" s="1"/>
  <c r="Q568" i="7"/>
  <c r="L567" i="7"/>
  <c r="Q567" i="7" s="1"/>
  <c r="M566" i="7"/>
  <c r="Q566" i="7" s="1"/>
  <c r="K565" i="7"/>
  <c r="Q565" i="7" s="1"/>
  <c r="L564" i="7"/>
  <c r="Q564" i="7" s="1"/>
  <c r="K563" i="7"/>
  <c r="Q563" i="7" s="1"/>
  <c r="L562" i="7"/>
  <c r="Q562" i="7" s="1"/>
  <c r="L561" i="7"/>
  <c r="Q561" i="7" s="1"/>
  <c r="K560" i="7"/>
  <c r="Q560" i="7" s="1"/>
  <c r="K559" i="7"/>
  <c r="Q559" i="7" s="1"/>
  <c r="K558" i="7"/>
  <c r="Q558" i="7" s="1"/>
  <c r="M557" i="7"/>
  <c r="Q557" i="7" s="1"/>
  <c r="K556" i="7"/>
  <c r="Q556" i="7" s="1"/>
  <c r="L555" i="7"/>
  <c r="Q555" i="7" s="1"/>
  <c r="L554" i="7"/>
  <c r="Q554" i="7" s="1"/>
  <c r="M553" i="7"/>
  <c r="Q553" i="7" s="1"/>
  <c r="Q552" i="7"/>
  <c r="Q550" i="7"/>
  <c r="Q549" i="7"/>
  <c r="Q548" i="7"/>
  <c r="Q547" i="7"/>
  <c r="Q546" i="7"/>
  <c r="Q545" i="7"/>
  <c r="Q544" i="7"/>
  <c r="Q543" i="7"/>
  <c r="Q542" i="7"/>
  <c r="Q541" i="7"/>
  <c r="Q540" i="7"/>
  <c r="Q539" i="7"/>
  <c r="Q538" i="7"/>
  <c r="Q537" i="7"/>
  <c r="Q536" i="7"/>
  <c r="Q535" i="7"/>
  <c r="Q534" i="7"/>
  <c r="Q533" i="7"/>
  <c r="Q532" i="7"/>
  <c r="Q531" i="7"/>
  <c r="Q530" i="7"/>
  <c r="Q529" i="7"/>
  <c r="Q528" i="7"/>
  <c r="Q527" i="7"/>
  <c r="Q526" i="7"/>
  <c r="Q525" i="7"/>
  <c r="Q524" i="7"/>
  <c r="Q523" i="7"/>
  <c r="Q522" i="7"/>
  <c r="Q521" i="7"/>
  <c r="Q520" i="7"/>
  <c r="Q519" i="7"/>
  <c r="Q518" i="7"/>
  <c r="Q517" i="7"/>
  <c r="Q516" i="7"/>
  <c r="Q515" i="7"/>
  <c r="Q514" i="7"/>
  <c r="Q513" i="7"/>
  <c r="Q512" i="7"/>
  <c r="Q511" i="7"/>
  <c r="Q510" i="7"/>
  <c r="Q509" i="7"/>
  <c r="L508" i="7"/>
  <c r="Q508" i="7" s="1"/>
  <c r="Q507" i="7"/>
  <c r="K506" i="7"/>
  <c r="Q506" i="7" s="1"/>
  <c r="Q505" i="7"/>
  <c r="Q504" i="7"/>
  <c r="Q503" i="7"/>
  <c r="Q502" i="7"/>
  <c r="Q501" i="7"/>
  <c r="Q500" i="7"/>
  <c r="Q499" i="7"/>
  <c r="Q498" i="7"/>
  <c r="Q497" i="7"/>
  <c r="Q496" i="7"/>
  <c r="Q495" i="7"/>
  <c r="Q494" i="7"/>
  <c r="Q493" i="7"/>
  <c r="Q492" i="7"/>
  <c r="Q491" i="7"/>
  <c r="Q490" i="7"/>
  <c r="Q489" i="7"/>
  <c r="Q488" i="7"/>
  <c r="Q487" i="7"/>
  <c r="Q486" i="7"/>
  <c r="Q485" i="7"/>
  <c r="K484" i="7"/>
  <c r="Q484" i="7" s="1"/>
  <c r="K483" i="7"/>
  <c r="Q483" i="7" s="1"/>
  <c r="Q482" i="7"/>
  <c r="L481" i="7"/>
  <c r="Q481" i="7" s="1"/>
  <c r="Q480" i="7"/>
  <c r="Q479" i="7"/>
  <c r="K478" i="7"/>
  <c r="Q478" i="7" s="1"/>
  <c r="Q477" i="7"/>
  <c r="Q476" i="7"/>
  <c r="K475" i="7"/>
  <c r="Q475" i="7" s="1"/>
  <c r="M474" i="7"/>
  <c r="Q474" i="7" s="1"/>
  <c r="Q473" i="7"/>
  <c r="K472" i="7"/>
  <c r="Q472" i="7" s="1"/>
  <c r="P471" i="7"/>
  <c r="Q471" i="7" s="1"/>
  <c r="K470" i="7"/>
  <c r="Q470" i="7" s="1"/>
  <c r="N469" i="7"/>
  <c r="Q469" i="7" s="1"/>
  <c r="G469" i="7"/>
  <c r="G470" i="7" s="1"/>
  <c r="L468" i="7"/>
  <c r="Q468" i="7" s="1"/>
  <c r="M467" i="7"/>
  <c r="Q467" i="7" s="1"/>
  <c r="Q466" i="7"/>
  <c r="Q465" i="7"/>
  <c r="Q464" i="7"/>
  <c r="P463" i="7"/>
  <c r="O463" i="7"/>
  <c r="N463" i="7"/>
  <c r="M463" i="7"/>
  <c r="L463" i="7"/>
  <c r="K463" i="7"/>
  <c r="P462" i="7"/>
  <c r="O462" i="7"/>
  <c r="N462" i="7"/>
  <c r="M462" i="7"/>
  <c r="L462" i="7"/>
  <c r="K462" i="7"/>
  <c r="Q462" i="7" s="1"/>
  <c r="Q461" i="7"/>
  <c r="Q460" i="7"/>
  <c r="Q459" i="7"/>
  <c r="K458" i="7"/>
  <c r="Q458" i="7" s="1"/>
  <c r="F458" i="7"/>
  <c r="Q457" i="7"/>
  <c r="Q456" i="7"/>
  <c r="L456" i="7"/>
  <c r="K455" i="7"/>
  <c r="Q455" i="7" s="1"/>
  <c r="Q454" i="7"/>
  <c r="P453" i="7"/>
  <c r="O453" i="7"/>
  <c r="N453" i="7"/>
  <c r="M453" i="7"/>
  <c r="L453" i="7"/>
  <c r="K453" i="7"/>
  <c r="Q452" i="7"/>
  <c r="O451" i="7"/>
  <c r="Q451" i="7" s="1"/>
  <c r="Q450" i="7"/>
  <c r="K449" i="7"/>
  <c r="Q449" i="7" s="1"/>
  <c r="K448" i="7"/>
  <c r="Q448" i="7" s="1"/>
  <c r="K447" i="7"/>
  <c r="Q447" i="7" s="1"/>
  <c r="K446" i="7"/>
  <c r="Q446" i="7" s="1"/>
  <c r="K445" i="7"/>
  <c r="Q445" i="7" s="1"/>
  <c r="K444" i="7"/>
  <c r="Q444" i="7" s="1"/>
  <c r="K443" i="7"/>
  <c r="Q443" i="7" s="1"/>
  <c r="K442" i="7"/>
  <c r="Q442" i="7" s="1"/>
  <c r="K441" i="7"/>
  <c r="Q441" i="7" s="1"/>
  <c r="Q440" i="7"/>
  <c r="P439" i="7"/>
  <c r="O439" i="7"/>
  <c r="N439" i="7"/>
  <c r="M439" i="7"/>
  <c r="L439" i="7"/>
  <c r="K439" i="7"/>
  <c r="Q438" i="7"/>
  <c r="N437" i="7"/>
  <c r="Q437" i="7" s="1"/>
  <c r="Q436" i="7"/>
  <c r="M435" i="7"/>
  <c r="Q435" i="7" s="1"/>
  <c r="Q434" i="7"/>
  <c r="N433" i="7"/>
  <c r="O433" i="7" s="1"/>
  <c r="P433" i="7" s="1"/>
  <c r="L433" i="7"/>
  <c r="Q432" i="7"/>
  <c r="L431" i="7"/>
  <c r="Q431" i="7" s="1"/>
  <c r="Q430" i="7"/>
  <c r="Q429" i="7"/>
  <c r="F429" i="7"/>
  <c r="Q428" i="7"/>
  <c r="Q427" i="7"/>
  <c r="Q426" i="7"/>
  <c r="Q425" i="7"/>
  <c r="Q424" i="7"/>
  <c r="P423" i="7"/>
  <c r="N423" i="7"/>
  <c r="L423" i="7"/>
  <c r="Q422" i="7"/>
  <c r="L421" i="7"/>
  <c r="M421" i="7" s="1"/>
  <c r="N421" i="7" s="1"/>
  <c r="O421" i="7" s="1"/>
  <c r="P421" i="7" s="1"/>
  <c r="K421" i="7"/>
  <c r="K420" i="7"/>
  <c r="Q419" i="7"/>
  <c r="L418" i="7"/>
  <c r="Q418" i="7" s="1"/>
  <c r="M417" i="7"/>
  <c r="Q417" i="7" s="1"/>
  <c r="K416" i="7"/>
  <c r="Q416" i="7" s="1"/>
  <c r="L415" i="7"/>
  <c r="Q415" i="7" s="1"/>
  <c r="Q414" i="7"/>
  <c r="Q413" i="7"/>
  <c r="Q412" i="7"/>
  <c r="M411" i="7"/>
  <c r="Q411" i="7" s="1"/>
  <c r="Q410" i="7"/>
  <c r="Q408" i="7"/>
  <c r="Q407" i="7"/>
  <c r="Q406" i="7"/>
  <c r="Q405" i="7"/>
  <c r="L404" i="7"/>
  <c r="Q404" i="7" s="1"/>
  <c r="M403" i="7"/>
  <c r="Q403" i="7" s="1"/>
  <c r="L402" i="7"/>
  <c r="Q402" i="7" s="1"/>
  <c r="Q401" i="7"/>
  <c r="K400" i="7"/>
  <c r="Q400" i="7" s="1"/>
  <c r="K399" i="7"/>
  <c r="Q399" i="7" s="1"/>
  <c r="M398" i="7"/>
  <c r="Q398" i="7" s="1"/>
  <c r="K397" i="7"/>
  <c r="Q397" i="7" s="1"/>
  <c r="L396" i="7"/>
  <c r="Q396" i="7" s="1"/>
  <c r="Q395" i="7"/>
  <c r="Q394" i="7"/>
  <c r="K393" i="7"/>
  <c r="Q393" i="7" s="1"/>
  <c r="K392" i="7"/>
  <c r="Q392" i="7" s="1"/>
  <c r="M391" i="7"/>
  <c r="Q391" i="7" s="1"/>
  <c r="K390" i="7"/>
  <c r="Q390" i="7" s="1"/>
  <c r="N389" i="7"/>
  <c r="Q389" i="7" s="1"/>
  <c r="P388" i="7"/>
  <c r="Q388" i="7" s="1"/>
  <c r="K387" i="7"/>
  <c r="Q387" i="7" s="1"/>
  <c r="K386" i="7"/>
  <c r="Q386" i="7" s="1"/>
  <c r="Q385" i="7"/>
  <c r="K385" i="7"/>
  <c r="K384" i="7"/>
  <c r="Q384" i="7" s="1"/>
  <c r="M383" i="7"/>
  <c r="Q383" i="7" s="1"/>
  <c r="K382" i="7"/>
  <c r="Q382" i="7" s="1"/>
  <c r="L381" i="7"/>
  <c r="Q381" i="7" s="1"/>
  <c r="F381" i="7"/>
  <c r="F382" i="7" s="1"/>
  <c r="F383" i="7" s="1"/>
  <c r="F386" i="7" s="1"/>
  <c r="K380" i="7"/>
  <c r="Q380" i="7" s="1"/>
  <c r="Q379" i="7"/>
  <c r="L378" i="7"/>
  <c r="Q378" i="7" s="1"/>
  <c r="Q377" i="7"/>
  <c r="K376" i="7"/>
  <c r="Q376" i="7" s="1"/>
  <c r="K375" i="7"/>
  <c r="Q375" i="7" s="1"/>
  <c r="Q374" i="7"/>
  <c r="Q373" i="7"/>
  <c r="Q372" i="7"/>
  <c r="L371" i="7"/>
  <c r="Q371" i="7" s="1"/>
  <c r="G371" i="7"/>
  <c r="Q370" i="7"/>
  <c r="Q369" i="7"/>
  <c r="Q368" i="7"/>
  <c r="Q367" i="7"/>
  <c r="Q366" i="7"/>
  <c r="Q365" i="7"/>
  <c r="Q364" i="7"/>
  <c r="Q363" i="7"/>
  <c r="Q362" i="7"/>
  <c r="Q361" i="7"/>
  <c r="Q360" i="7"/>
  <c r="Q359" i="7"/>
  <c r="Q358" i="7"/>
  <c r="K357" i="7"/>
  <c r="Q357" i="7" s="1"/>
  <c r="L356" i="7"/>
  <c r="Q356" i="7" s="1"/>
  <c r="L355" i="7"/>
  <c r="Q355" i="7" s="1"/>
  <c r="L354" i="7"/>
  <c r="Q354" i="7" s="1"/>
  <c r="Q353" i="7"/>
  <c r="Q352" i="7"/>
  <c r="F352" i="7"/>
  <c r="K351" i="7"/>
  <c r="K350" i="7"/>
  <c r="N350" i="7" s="1"/>
  <c r="K349" i="7"/>
  <c r="Q349" i="7" s="1"/>
  <c r="Q348" i="7"/>
  <c r="K347" i="7"/>
  <c r="Q347" i="7" s="1"/>
  <c r="Q346" i="7"/>
  <c r="K346" i="7"/>
  <c r="Q345" i="7"/>
  <c r="K345" i="7"/>
  <c r="K344" i="7"/>
  <c r="Q344" i="7" s="1"/>
  <c r="F344" i="7"/>
  <c r="F345" i="7" s="1"/>
  <c r="F346" i="7" s="1"/>
  <c r="F347" i="7" s="1"/>
  <c r="K343" i="7"/>
  <c r="Q343" i="7" s="1"/>
  <c r="Q342" i="7"/>
  <c r="M341" i="7"/>
  <c r="K341" i="7"/>
  <c r="Q341" i="7" s="1"/>
  <c r="M340" i="7"/>
  <c r="K340" i="7"/>
  <c r="Q340" i="7" s="1"/>
  <c r="M339" i="7"/>
  <c r="K339" i="7"/>
  <c r="Q339" i="7" s="1"/>
  <c r="M338" i="7"/>
  <c r="K338" i="7"/>
  <c r="Q338" i="7" s="1"/>
  <c r="M337" i="7"/>
  <c r="K337" i="7"/>
  <c r="Q337" i="7" s="1"/>
  <c r="M336" i="7"/>
  <c r="K336" i="7"/>
  <c r="Q336" i="7" s="1"/>
  <c r="M335" i="7"/>
  <c r="K335" i="7"/>
  <c r="Q335" i="7" s="1"/>
  <c r="M334" i="7"/>
  <c r="K334" i="7"/>
  <c r="Q334" i="7" s="1"/>
  <c r="M333" i="7"/>
  <c r="K333" i="7"/>
  <c r="Q333" i="7" s="1"/>
  <c r="M332" i="7"/>
  <c r="K332" i="7"/>
  <c r="Q332" i="7" s="1"/>
  <c r="M331" i="7"/>
  <c r="K331" i="7"/>
  <c r="Q331" i="7" s="1"/>
  <c r="M330" i="7"/>
  <c r="K330" i="7"/>
  <c r="Q330" i="7" s="1"/>
  <c r="F330" i="7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M329" i="7"/>
  <c r="K329" i="7"/>
  <c r="Q329" i="7" s="1"/>
  <c r="Q328" i="7"/>
  <c r="N327" i="7"/>
  <c r="L327" i="7"/>
  <c r="N326" i="7"/>
  <c r="L326" i="7"/>
  <c r="N325" i="7"/>
  <c r="L325" i="7"/>
  <c r="N324" i="7"/>
  <c r="L324" i="7"/>
  <c r="N323" i="7"/>
  <c r="L323" i="7"/>
  <c r="N322" i="7"/>
  <c r="L322" i="7"/>
  <c r="N321" i="7"/>
  <c r="L321" i="7"/>
  <c r="N320" i="7"/>
  <c r="L320" i="7"/>
  <c r="N319" i="7"/>
  <c r="L319" i="7"/>
  <c r="N318" i="7"/>
  <c r="L318" i="7"/>
  <c r="N317" i="7"/>
  <c r="Q317" i="7" s="1"/>
  <c r="L317" i="7"/>
  <c r="N316" i="7"/>
  <c r="Q316" i="7" s="1"/>
  <c r="L316" i="7"/>
  <c r="F316" i="7"/>
  <c r="F317" i="7" s="1"/>
  <c r="F318" i="7" s="1"/>
  <c r="F319" i="7" s="1"/>
  <c r="F320" i="7" s="1"/>
  <c r="N315" i="7"/>
  <c r="L315" i="7"/>
  <c r="Q314" i="7"/>
  <c r="Q313" i="7"/>
  <c r="Q312" i="7"/>
  <c r="Q311" i="7"/>
  <c r="Q310" i="7"/>
  <c r="Q309" i="7"/>
  <c r="Q308" i="7"/>
  <c r="Q307" i="7"/>
  <c r="Q306" i="7"/>
  <c r="K305" i="7"/>
  <c r="Q305" i="7" s="1"/>
  <c r="M304" i="7"/>
  <c r="Q304" i="7" s="1"/>
  <c r="Q303" i="7"/>
  <c r="K303" i="7"/>
  <c r="Q302" i="7"/>
  <c r="K301" i="7"/>
  <c r="Q301" i="7" s="1"/>
  <c r="F301" i="7"/>
  <c r="F303" i="7" s="1"/>
  <c r="F304" i="7" s="1"/>
  <c r="F212" i="7" s="1"/>
  <c r="M300" i="7"/>
  <c r="Q300" i="7" s="1"/>
  <c r="Q299" i="7"/>
  <c r="F299" i="7"/>
  <c r="Q298" i="7"/>
  <c r="Q297" i="7"/>
  <c r="Q296" i="7"/>
  <c r="Q295" i="7"/>
  <c r="G295" i="7"/>
  <c r="Q294" i="7"/>
  <c r="F294" i="7"/>
  <c r="Q293" i="7"/>
  <c r="Q292" i="7"/>
  <c r="Q291" i="7"/>
  <c r="Q290" i="7"/>
  <c r="Q289" i="7"/>
  <c r="Q288" i="7"/>
  <c r="Q287" i="7"/>
  <c r="Q286" i="7"/>
  <c r="L285" i="7"/>
  <c r="Q285" i="7" s="1"/>
  <c r="Q284" i="7"/>
  <c r="K283" i="7"/>
  <c r="Q283" i="7" s="1"/>
  <c r="L282" i="7"/>
  <c r="Q282" i="7" s="1"/>
  <c r="M281" i="7"/>
  <c r="Q281" i="7" s="1"/>
  <c r="L280" i="7"/>
  <c r="Q280" i="7" s="1"/>
  <c r="K279" i="7"/>
  <c r="Q279" i="7" s="1"/>
  <c r="O278" i="7"/>
  <c r="Q278" i="7" s="1"/>
  <c r="M277" i="7"/>
  <c r="Q277" i="7" s="1"/>
  <c r="P276" i="7"/>
  <c r="Q276" i="7" s="1"/>
  <c r="Q275" i="7"/>
  <c r="F275" i="7"/>
  <c r="F276" i="7" s="1"/>
  <c r="F277" i="7" s="1"/>
  <c r="F278" i="7" s="1"/>
  <c r="F279" i="7" s="1"/>
  <c r="F280" i="7" s="1"/>
  <c r="F281" i="7" s="1"/>
  <c r="F283" i="7" s="1"/>
  <c r="P274" i="7"/>
  <c r="Q274" i="7" s="1"/>
  <c r="Q273" i="7"/>
  <c r="Q272" i="7"/>
  <c r="Q271" i="7"/>
  <c r="Q270" i="7"/>
  <c r="N269" i="7"/>
  <c r="Q269" i="7" s="1"/>
  <c r="K268" i="7"/>
  <c r="Q268" i="7" s="1"/>
  <c r="Q267" i="7"/>
  <c r="K267" i="7"/>
  <c r="L266" i="7"/>
  <c r="Q266" i="7" s="1"/>
  <c r="K265" i="7"/>
  <c r="Q265" i="7" s="1"/>
  <c r="M264" i="7"/>
  <c r="Q264" i="7" s="1"/>
  <c r="F264" i="7"/>
  <c r="K263" i="7"/>
  <c r="Q263" i="7" s="1"/>
  <c r="K262" i="7"/>
  <c r="Q262" i="7" s="1"/>
  <c r="O261" i="7"/>
  <c r="Q261" i="7" s="1"/>
  <c r="N260" i="7"/>
  <c r="Q260" i="7" s="1"/>
  <c r="L259" i="7"/>
  <c r="Q259" i="7" s="1"/>
  <c r="M258" i="7"/>
  <c r="Q258" i="7" s="1"/>
  <c r="P257" i="7"/>
  <c r="Q257" i="7" s="1"/>
  <c r="N256" i="7"/>
  <c r="Q256" i="7" s="1"/>
  <c r="Q255" i="7"/>
  <c r="L255" i="7"/>
  <c r="Q254" i="7"/>
  <c r="P254" i="7"/>
  <c r="F254" i="7"/>
  <c r="K253" i="7"/>
  <c r="Q253" i="7" s="1"/>
  <c r="Q252" i="7"/>
  <c r="O252" i="7"/>
  <c r="M251" i="7"/>
  <c r="Q251" i="7" s="1"/>
  <c r="L250" i="7"/>
  <c r="Q250" i="7" s="1"/>
  <c r="F250" i="7"/>
  <c r="N249" i="7"/>
  <c r="Q249" i="7" s="1"/>
  <c r="M248" i="7"/>
  <c r="Q248" i="7" s="1"/>
  <c r="L247" i="7"/>
  <c r="Q247" i="7" s="1"/>
  <c r="M246" i="7"/>
  <c r="Q246" i="7" s="1"/>
  <c r="K245" i="7"/>
  <c r="Q245" i="7" s="1"/>
  <c r="Q244" i="7"/>
  <c r="Q243" i="7"/>
  <c r="F243" i="7"/>
  <c r="Q242" i="7"/>
  <c r="M241" i="7"/>
  <c r="N241" i="7" s="1"/>
  <c r="O241" i="7" s="1"/>
  <c r="P241" i="7" s="1"/>
  <c r="L240" i="7"/>
  <c r="Q240" i="7" s="1"/>
  <c r="Q239" i="7"/>
  <c r="L239" i="7"/>
  <c r="Q238" i="7"/>
  <c r="K237" i="7"/>
  <c r="Q237" i="7" s="1"/>
  <c r="L236" i="7"/>
  <c r="Q236" i="7" s="1"/>
  <c r="K235" i="7"/>
  <c r="Q235" i="7" s="1"/>
  <c r="K234" i="7"/>
  <c r="Q234" i="7" s="1"/>
  <c r="N233" i="7"/>
  <c r="Q233" i="7" s="1"/>
  <c r="L232" i="7"/>
  <c r="Q232" i="7" s="1"/>
  <c r="K231" i="7"/>
  <c r="Q231" i="7" s="1"/>
  <c r="N230" i="7"/>
  <c r="Q230" i="7" s="1"/>
  <c r="M229" i="7"/>
  <c r="Q229" i="7" s="1"/>
  <c r="L228" i="7"/>
  <c r="Q228" i="7" s="1"/>
  <c r="K227" i="7"/>
  <c r="Q227" i="7" s="1"/>
  <c r="K226" i="7"/>
  <c r="Q226" i="7" s="1"/>
  <c r="M225" i="7"/>
  <c r="Q225" i="7" s="1"/>
  <c r="K224" i="7"/>
  <c r="Q224" i="7" s="1"/>
  <c r="K223" i="7"/>
  <c r="Q223" i="7" s="1"/>
  <c r="Q222" i="7"/>
  <c r="N221" i="7"/>
  <c r="Q221" i="7" s="1"/>
  <c r="K220" i="7"/>
  <c r="Q220" i="7" s="1"/>
  <c r="M219" i="7"/>
  <c r="Q219" i="7" s="1"/>
  <c r="K218" i="7"/>
  <c r="Q218" i="7" s="1"/>
  <c r="L217" i="7"/>
  <c r="Q217" i="7" s="1"/>
  <c r="K216" i="7"/>
  <c r="Q216" i="7" s="1"/>
  <c r="K215" i="7"/>
  <c r="Q215" i="7" s="1"/>
  <c r="Q214" i="7"/>
  <c r="N214" i="7"/>
  <c r="L213" i="7"/>
  <c r="Q213" i="7" s="1"/>
  <c r="K212" i="7"/>
  <c r="Q212" i="7" s="1"/>
  <c r="M211" i="7"/>
  <c r="Q211" i="7" s="1"/>
  <c r="K210" i="7"/>
  <c r="Q210" i="7" s="1"/>
  <c r="K209" i="7"/>
  <c r="Q209" i="7" s="1"/>
  <c r="M208" i="7"/>
  <c r="N208" i="7" s="1"/>
  <c r="O208" i="7" s="1"/>
  <c r="P208" i="7" s="1"/>
  <c r="F208" i="7"/>
  <c r="K207" i="7"/>
  <c r="Q207" i="7" s="1"/>
  <c r="F207" i="7"/>
  <c r="M206" i="7"/>
  <c r="Q206" i="7" s="1"/>
  <c r="F206" i="7"/>
  <c r="K205" i="7"/>
  <c r="Q205" i="7" s="1"/>
  <c r="K204" i="7"/>
  <c r="Q204" i="7" s="1"/>
  <c r="K203" i="7"/>
  <c r="Q203" i="7" s="1"/>
  <c r="L202" i="7"/>
  <c r="Q202" i="7" s="1"/>
  <c r="L201" i="7"/>
  <c r="Q201" i="7" s="1"/>
  <c r="M200" i="7"/>
  <c r="Q200" i="7" s="1"/>
  <c r="Q199" i="7"/>
  <c r="K198" i="7"/>
  <c r="Q198" i="7" s="1"/>
  <c r="K197" i="7"/>
  <c r="Q197" i="7" s="1"/>
  <c r="K196" i="7"/>
  <c r="Q196" i="7" s="1"/>
  <c r="Q195" i="7"/>
  <c r="Q194" i="7"/>
  <c r="K193" i="7"/>
  <c r="Q193" i="7" s="1"/>
  <c r="L192" i="7"/>
  <c r="Q192" i="7" s="1"/>
  <c r="K191" i="7"/>
  <c r="Q191" i="7" s="1"/>
  <c r="M190" i="7"/>
  <c r="Q190" i="7" s="1"/>
  <c r="K189" i="7"/>
  <c r="Q189" i="7" s="1"/>
  <c r="Q188" i="7"/>
  <c r="Q187" i="7"/>
  <c r="M186" i="7"/>
  <c r="Q186" i="7" s="1"/>
  <c r="L185" i="7"/>
  <c r="Q185" i="7" s="1"/>
  <c r="O184" i="7"/>
  <c r="Q184" i="7" s="1"/>
  <c r="Q183" i="7"/>
  <c r="F183" i="7"/>
  <c r="F184" i="7" s="1"/>
  <c r="F185" i="7" s="1"/>
  <c r="F186" i="7" s="1"/>
  <c r="F187" i="7" s="1"/>
  <c r="F188" i="7" s="1"/>
  <c r="F189" i="7" s="1"/>
  <c r="F190" i="7" s="1"/>
  <c r="F191" i="7" s="1"/>
  <c r="F192" i="7" s="1"/>
  <c r="Q182" i="7"/>
  <c r="Q181" i="7"/>
  <c r="M181" i="7"/>
  <c r="K180" i="7"/>
  <c r="Q180" i="7" s="1"/>
  <c r="K179" i="7"/>
  <c r="Q179" i="7" s="1"/>
  <c r="F179" i="7"/>
  <c r="F180" i="7" s="1"/>
  <c r="F181" i="7" s="1"/>
  <c r="N178" i="7"/>
  <c r="Q178" i="7" s="1"/>
  <c r="Q177" i="7"/>
  <c r="K177" i="7"/>
  <c r="L176" i="7"/>
  <c r="Q176" i="7" s="1"/>
  <c r="M175" i="7"/>
  <c r="Q175" i="7" s="1"/>
  <c r="Q174" i="7"/>
  <c r="Q173" i="7"/>
  <c r="L172" i="7"/>
  <c r="Q172" i="7" s="1"/>
  <c r="F172" i="7"/>
  <c r="F173" i="7" s="1"/>
  <c r="F174" i="7" s="1"/>
  <c r="K171" i="7"/>
  <c r="Q171" i="7" s="1"/>
  <c r="L170" i="7"/>
  <c r="Q170" i="7" s="1"/>
  <c r="Q169" i="7"/>
  <c r="Q168" i="7"/>
  <c r="L167" i="7"/>
  <c r="Q167" i="7" s="1"/>
  <c r="K166" i="7"/>
  <c r="Q166" i="7" s="1"/>
  <c r="Q165" i="7"/>
  <c r="Q164" i="7"/>
  <c r="Q163" i="7"/>
  <c r="Q162" i="7"/>
  <c r="Q161" i="7"/>
  <c r="Q160" i="7"/>
  <c r="Q159" i="7"/>
  <c r="Q158" i="7"/>
  <c r="Q157" i="7"/>
  <c r="Q156" i="7"/>
  <c r="Q155" i="7"/>
  <c r="K154" i="7"/>
  <c r="Q154" i="7" s="1"/>
  <c r="M153" i="7"/>
  <c r="Q153" i="7" s="1"/>
  <c r="Q152" i="7"/>
  <c r="Q151" i="7"/>
  <c r="M150" i="7"/>
  <c r="Q150" i="7" s="1"/>
  <c r="Q149" i="7"/>
  <c r="Q148" i="7"/>
  <c r="Q147" i="7"/>
  <c r="Q146" i="7"/>
  <c r="Q145" i="7"/>
  <c r="Q144" i="7"/>
  <c r="Q143" i="7"/>
  <c r="Q142" i="7"/>
  <c r="Q141" i="7"/>
  <c r="M140" i="7"/>
  <c r="Q140" i="7" s="1"/>
  <c r="Q139" i="7"/>
  <c r="Q138" i="7"/>
  <c r="K137" i="7"/>
  <c r="Q137" i="7" s="1"/>
  <c r="Q136" i="7"/>
  <c r="K135" i="7"/>
  <c r="Q135" i="7" s="1"/>
  <c r="K134" i="7"/>
  <c r="Q134" i="7" s="1"/>
  <c r="Q133" i="7"/>
  <c r="Q132" i="7"/>
  <c r="Q131" i="7"/>
  <c r="Q130" i="7"/>
  <c r="Q129" i="7"/>
  <c r="Q128" i="7"/>
  <c r="Q127" i="7"/>
  <c r="Q126" i="7"/>
  <c r="Q125" i="7"/>
  <c r="Q124" i="7"/>
  <c r="Q123" i="7"/>
  <c r="K122" i="7"/>
  <c r="Q122" i="7" s="1"/>
  <c r="H122" i="7"/>
  <c r="K121" i="7"/>
  <c r="Q121" i="7" s="1"/>
  <c r="K120" i="7"/>
  <c r="Q120" i="7" s="1"/>
  <c r="K119" i="7"/>
  <c r="Q119" i="7" s="1"/>
  <c r="Q118" i="7"/>
  <c r="Q117" i="7"/>
  <c r="Q116" i="7"/>
  <c r="Q115" i="7"/>
  <c r="Q114" i="7"/>
  <c r="K113" i="7"/>
  <c r="K112" i="7"/>
  <c r="Q111" i="7"/>
  <c r="Q110" i="7"/>
  <c r="K109" i="7"/>
  <c r="Q109" i="7" s="1"/>
  <c r="Q108" i="7"/>
  <c r="K107" i="7"/>
  <c r="Q107" i="7" s="1"/>
  <c r="L106" i="7"/>
  <c r="Q106" i="7" s="1"/>
  <c r="K105" i="7"/>
  <c r="Q105" i="7" s="1"/>
  <c r="K104" i="7"/>
  <c r="Q104" i="7" s="1"/>
  <c r="P103" i="7"/>
  <c r="O103" i="7"/>
  <c r="N103" i="7"/>
  <c r="M103" i="7"/>
  <c r="L103" i="7"/>
  <c r="K103" i="7"/>
  <c r="L102" i="7"/>
  <c r="Q102" i="7" s="1"/>
  <c r="M101" i="7"/>
  <c r="Q101" i="7" s="1"/>
  <c r="Q100" i="7"/>
  <c r="Q99" i="7"/>
  <c r="Q98" i="7"/>
  <c r="Q97" i="7"/>
  <c r="Q96" i="7"/>
  <c r="Q95" i="7"/>
  <c r="Q94" i="7"/>
  <c r="Q93" i="7"/>
  <c r="G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J78" i="7"/>
  <c r="Q77" i="7"/>
  <c r="Q76" i="7"/>
  <c r="Q75" i="7"/>
  <c r="Q71" i="7"/>
  <c r="Q70" i="7"/>
  <c r="Q69" i="7"/>
  <c r="Q68" i="7"/>
  <c r="Q67" i="7"/>
  <c r="Q66" i="7"/>
  <c r="Q65" i="7"/>
  <c r="P64" i="7"/>
  <c r="N64" i="7"/>
  <c r="L64" i="7"/>
  <c r="Q63" i="7"/>
  <c r="Q62" i="7"/>
  <c r="Q61" i="7"/>
  <c r="Q60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2" i="7"/>
  <c r="M21" i="7"/>
  <c r="H21" i="7"/>
  <c r="Q20" i="7"/>
  <c r="Q19" i="7"/>
  <c r="Q18" i="7"/>
  <c r="Q17" i="7"/>
  <c r="Q16" i="7"/>
  <c r="Q15" i="7"/>
  <c r="Q14" i="7"/>
  <c r="Q463" i="7" l="1"/>
  <c r="Q318" i="7"/>
  <c r="Q321" i="7"/>
  <c r="Q322" i="7"/>
  <c r="Q323" i="7"/>
  <c r="Q324" i="7"/>
  <c r="Q325" i="7"/>
  <c r="Q326" i="7"/>
  <c r="Q327" i="7"/>
  <c r="G33" i="9"/>
  <c r="F19" i="11"/>
  <c r="F71" i="11" s="1"/>
  <c r="Q350" i="7"/>
  <c r="Q439" i="7"/>
  <c r="Q453" i="7"/>
  <c r="G112" i="10"/>
  <c r="Q315" i="7"/>
  <c r="Q319" i="7"/>
  <c r="Q320" i="7"/>
  <c r="F322" i="7"/>
  <c r="F323" i="7" s="1"/>
  <c r="F324" i="7" s="1"/>
  <c r="F325" i="7" s="1"/>
  <c r="F326" i="7" s="1"/>
  <c r="F327" i="7" s="1"/>
  <c r="F384" i="7"/>
  <c r="F387" i="7" s="1"/>
  <c r="F388" i="7" s="1"/>
  <c r="F389" i="7" s="1"/>
  <c r="F390" i="7" s="1"/>
  <c r="Q433" i="7"/>
  <c r="G45" i="10"/>
  <c r="G10" i="12"/>
  <c r="G119" i="12" s="1"/>
  <c r="G11" i="10"/>
  <c r="G91" i="10"/>
  <c r="G71" i="10"/>
  <c r="G45" i="8"/>
  <c r="G72" i="8"/>
  <c r="G114" i="8"/>
  <c r="G11" i="8"/>
  <c r="G93" i="8"/>
  <c r="G12" i="9"/>
  <c r="G63" i="9"/>
  <c r="G56" i="9"/>
  <c r="G11" i="9" s="1"/>
  <c r="G85" i="9" s="1"/>
  <c r="G10" i="10"/>
  <c r="G119" i="10" s="1"/>
  <c r="M645" i="7"/>
  <c r="N645" i="7" s="1"/>
  <c r="O645" i="7" s="1"/>
  <c r="P645" i="7" s="1"/>
  <c r="Q64" i="7"/>
  <c r="K655" i="7"/>
  <c r="L113" i="7"/>
  <c r="M113" i="7" s="1"/>
  <c r="N113" i="7" s="1"/>
  <c r="O113" i="7" s="1"/>
  <c r="P113" i="7" s="1"/>
  <c r="Q420" i="7"/>
  <c r="L420" i="7"/>
  <c r="M420" i="7" s="1"/>
  <c r="N420" i="7" s="1"/>
  <c r="O420" i="7" s="1"/>
  <c r="P420" i="7" s="1"/>
  <c r="L577" i="7"/>
  <c r="M577" i="7" s="1"/>
  <c r="N577" i="7" s="1"/>
  <c r="O577" i="7" s="1"/>
  <c r="P577" i="7" s="1"/>
  <c r="Q21" i="7"/>
  <c r="L112" i="7"/>
  <c r="M112" i="7" s="1"/>
  <c r="N112" i="7" s="1"/>
  <c r="O112" i="7" s="1"/>
  <c r="P112" i="7" s="1"/>
  <c r="P655" i="7" s="1"/>
  <c r="Q241" i="7"/>
  <c r="Q646" i="7"/>
  <c r="L646" i="7"/>
  <c r="M646" i="7" s="1"/>
  <c r="N646" i="7" s="1"/>
  <c r="O646" i="7" s="1"/>
  <c r="P646" i="7" s="1"/>
  <c r="Q103" i="7"/>
  <c r="Q208" i="7"/>
  <c r="Q421" i="7"/>
  <c r="Q423" i="7"/>
  <c r="L351" i="7"/>
  <c r="M351" i="7" s="1"/>
  <c r="N351" i="7" s="1"/>
  <c r="O351" i="7" s="1"/>
  <c r="Q113" i="7" l="1"/>
  <c r="G10" i="8"/>
  <c r="G121" i="8" s="1"/>
  <c r="Q351" i="7"/>
  <c r="N655" i="7"/>
  <c r="Q577" i="7"/>
  <c r="Q112" i="7"/>
  <c r="Q655" i="7" s="1"/>
  <c r="L655" i="7"/>
  <c r="O655" i="7"/>
  <c r="Q645" i="7"/>
  <c r="M655" i="7"/>
</calcChain>
</file>

<file path=xl/comments1.xml><?xml version="1.0" encoding="utf-8"?>
<comments xmlns="http://schemas.openxmlformats.org/spreadsheetml/2006/main">
  <authors>
    <author>ACER</author>
  </authors>
  <commentList>
    <comment ref="D8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jalan pertigaan wuluh s/d pakel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talud
gorong
selokan jadi satu jalur pembangunan jalan desa</t>
        </r>
      </text>
    </comment>
  </commentList>
</comments>
</file>

<file path=xl/comments2.xml><?xml version="1.0" encoding="utf-8"?>
<comments xmlns="http://schemas.openxmlformats.org/spreadsheetml/2006/main">
  <authors>
    <author>ACER</author>
    <author>Macbook Andy</author>
  </authors>
  <commentList>
    <comment ref="H8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penyusunan monografi desa</t>
        </r>
      </text>
    </comment>
    <comment ref="H11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 pencegahan stunting
2.  biaya pelatihan isu stunting kader pendidikan 2 orang @ 1.500.000
</t>
        </r>
      </text>
    </comment>
    <comment ref="H11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 pencegahan stunting
2.  biaya pelatihan isu stunting kader pendidikan 2 orang @ 1.500.000
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
</t>
        </r>
      </text>
    </comment>
    <comment ref="H12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32" authorId="1">
      <text>
        <r>
          <rPr>
            <b/>
            <sz val="9"/>
            <color indexed="81"/>
            <rFont val="Calibri"/>
            <family val="2"/>
          </rPr>
          <t>Macbook Andy:</t>
        </r>
        <r>
          <rPr>
            <sz val="9"/>
            <color indexed="81"/>
            <rFont val="Calibri"/>
            <family val="2"/>
          </rPr>
          <t xml:space="preserve">
Tambah Belanja Modal</t>
        </r>
      </text>
    </comment>
    <comment ref="H16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komitmen PID/BID inovasi kotoran ternak menjadi pupuk berkualitas tinggi</t>
        </r>
      </text>
    </comment>
    <comment ref="H17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isu pencegahan stunting</t>
        </r>
      </text>
    </comment>
  </commentList>
</comments>
</file>

<file path=xl/comments3.xml><?xml version="1.0" encoding="utf-8"?>
<comments xmlns="http://schemas.openxmlformats.org/spreadsheetml/2006/main">
  <authors>
    <author>ACER</author>
    <author>Macbook Andy</author>
  </authors>
  <commentList>
    <comment ref="H8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penyusunan monografi desa</t>
        </r>
      </text>
    </comment>
    <comment ref="H11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 pencegahan stunting
2.  biaya pelatihan isu stunting kader pendidikan 2 orang @ 1.500.000
</t>
        </r>
      </text>
    </comment>
    <comment ref="H11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 pencegahan stunting
2.  biaya pelatihan isu stunting kader pendidikan 2 orang @ 1.500.000
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
</t>
        </r>
      </text>
    </comment>
    <comment ref="H12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H132" authorId="1">
      <text>
        <r>
          <rPr>
            <b/>
            <sz val="9"/>
            <color indexed="81"/>
            <rFont val="Calibri"/>
            <family val="2"/>
          </rPr>
          <t>Macbook Andy:</t>
        </r>
        <r>
          <rPr>
            <sz val="9"/>
            <color indexed="81"/>
            <rFont val="Calibri"/>
            <family val="2"/>
          </rPr>
          <t xml:space="preserve">
Tambah Belanja Modal</t>
        </r>
      </text>
    </comment>
    <comment ref="H16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komitmen PID/BID inovasi kotoran ternak menjadi pupuk berkualitas tinggi</t>
        </r>
      </text>
    </comment>
    <comment ref="H17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isu pencegahan stunting</t>
        </r>
      </text>
    </comment>
  </commentList>
</comments>
</file>

<file path=xl/comments4.xml><?xml version="1.0" encoding="utf-8"?>
<comments xmlns="http://schemas.openxmlformats.org/spreadsheetml/2006/main">
  <authors>
    <author>ACER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penyusunan monografi desa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B6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1.  pencegahan stunting
2.  biaya pelatihan isu stunting kader pendidikan 2 orang @ 1.500.000
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
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pencegahan stunting</t>
        </r>
      </text>
    </comment>
    <comment ref="B10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isu pencegahan stunting</t>
        </r>
      </text>
    </comment>
  </commentList>
</comments>
</file>

<file path=xl/comments5.xml><?xml version="1.0" encoding="utf-8"?>
<comments xmlns="http://schemas.openxmlformats.org/spreadsheetml/2006/main">
  <authors>
    <author>ACER</author>
  </authors>
  <commentList>
    <comment ref="D10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jalan pertigaan wuluh s/d pakel</t>
        </r>
      </text>
    </comment>
    <comment ref="D11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talud
gorong
selokan jadi satu jalur pembangunan jalan desa</t>
        </r>
      </text>
    </comment>
  </commentList>
</comments>
</file>

<file path=xl/sharedStrings.xml><?xml version="1.0" encoding="utf-8"?>
<sst xmlns="http://schemas.openxmlformats.org/spreadsheetml/2006/main" count="6775" uniqueCount="1194">
  <si>
    <t>DESA</t>
  </si>
  <si>
    <t>: PLANJAN</t>
  </si>
  <si>
    <t>KECAMATAN</t>
  </si>
  <si>
    <t>: SAPTOSARI</t>
  </si>
  <si>
    <t>No</t>
  </si>
  <si>
    <t>Volume</t>
  </si>
  <si>
    <t>BIDANG PENYELENGGARAAN PEMERINTAHAN DESA</t>
  </si>
  <si>
    <t>Penyediaan Penghasilan Tetap dan Tunjangan Kepala Desa</t>
  </si>
  <si>
    <t>Desa Planjan</t>
  </si>
  <si>
    <t>ADD</t>
  </si>
  <si>
    <t>Penyediaan Penghasilan Tetap dan Tunjangan Perangkat Desa</t>
  </si>
  <si>
    <t>Penyediaan Jaminan Sosial bagi Kepala Desa dan Perangkat Desa</t>
  </si>
  <si>
    <t>Penyediaan Operasional Pemerintah Desa (ATK, Honorarium PKPKD dan PPKD, perlengkapan perkantoran, pakaian dinas/atribut, listrik/telpon, dll)</t>
  </si>
  <si>
    <t>Penyediaan Tunjangan BPD</t>
  </si>
  <si>
    <t>Penyediaan Insentif/Operasional RT/RW</t>
  </si>
  <si>
    <t>Pemeliharaan Gedung/Prasarana Kantor Desa</t>
  </si>
  <si>
    <t>Penyusunan Laporan Kepala Desa/Penyelenggaraan Pemerintahan Desa (laporan akhir tahun anggaran, laporan akhir masa jabatan, laporan keterangan akhir tahun anggaran, informasi kepada masyarakat)</t>
  </si>
  <si>
    <t>Sub Bidang Pertanahan</t>
  </si>
  <si>
    <t>II</t>
  </si>
  <si>
    <t>BIDANG PEMBANGUNAN DESA</t>
  </si>
  <si>
    <t>Sub Bidang Pendidikan</t>
  </si>
  <si>
    <t>DDS</t>
  </si>
  <si>
    <t>Sub Bidang Kesehatan</t>
  </si>
  <si>
    <t>Penyelenggaraan Posyandu (Makanan Tambahan, Kelas Ibu Hamil, Kelas Lansia, Insentif Kader Posyandu)</t>
  </si>
  <si>
    <t>Penyelenggaraan Desa Siaga Kesehatan</t>
  </si>
  <si>
    <t>Sub Bidang Pekerjaan Umum dan Penataan Ruang</t>
  </si>
  <si>
    <t>m</t>
  </si>
  <si>
    <t>unit</t>
  </si>
  <si>
    <t>Penyelenggaraan Informasi Publik Desa  (Misal : Pembuatan Poster/Baliho Informasi penetapan/LPJ APBDes untuk Warga, dll)</t>
  </si>
  <si>
    <t>Sub Bidang Pariwisata</t>
  </si>
  <si>
    <t>III</t>
  </si>
  <si>
    <t>BHP/R</t>
  </si>
  <si>
    <t>Pembinaan PKK</t>
  </si>
  <si>
    <t>Pelatihan/Bimtek/Pengenalan Tekonologi Tepat Guna untuk Pertanian/Peternakan</t>
  </si>
  <si>
    <t>V</t>
  </si>
  <si>
    <t>BUDI SETIYANTO</t>
  </si>
  <si>
    <t>I</t>
  </si>
  <si>
    <t>Tunjangan dan operasional BPD</t>
  </si>
  <si>
    <t>Pengadaan Perlatan kerja</t>
  </si>
  <si>
    <t>Pemeliharaan rutin/berkala Gedung Kantor</t>
  </si>
  <si>
    <t>Pemeliharaan rutin/berkala kendaraan dinas/operasional</t>
  </si>
  <si>
    <t>Unit</t>
  </si>
  <si>
    <t>Operasional RT dan RW</t>
  </si>
  <si>
    <t>Operasional PKK</t>
  </si>
  <si>
    <t>Operasional LPMD</t>
  </si>
  <si>
    <t>Operasional Karang taruna</t>
  </si>
  <si>
    <t>PAD</t>
  </si>
  <si>
    <t>Penyusunan monografi desa</t>
  </si>
  <si>
    <t>Pengelolaan Sistem Informasi Desa (SID)</t>
  </si>
  <si>
    <t>Penyusunan rancangan Peraturan Desa tentang RKPDesa</t>
  </si>
  <si>
    <t xml:space="preserve">Penyusunan laporan keuangan bulanan/SPJ dan semesteran </t>
  </si>
  <si>
    <t>Intensifikasi pemungutan pajak daerah /PBB</t>
  </si>
  <si>
    <t>Pengisian perangkat desa</t>
  </si>
  <si>
    <t>Penyusunan Laporan Penyelenggaraan Pemerintahan Desa (LPPD)</t>
  </si>
  <si>
    <t>Insentif pendidik dan dukungan penyelenggaran PAUD</t>
  </si>
  <si>
    <t>orang</t>
  </si>
  <si>
    <t>Pengelolaan perpustakaan desa</t>
  </si>
  <si>
    <t>Pemberian makanan tambahan untuk balita/siswa  PAUD</t>
  </si>
  <si>
    <t>Pengembangan kehidupan sosial keagamaan</t>
  </si>
  <si>
    <t>Pemberian stimulan kegiatan keagamaan</t>
  </si>
  <si>
    <t>Orang</t>
  </si>
  <si>
    <t>KABUPATEN</t>
  </si>
  <si>
    <t>: GUNUNGKIDUL</t>
  </si>
  <si>
    <t>PROVINSI</t>
  </si>
  <si>
    <t>: DAERAH ISTIMEWA YOGYAKARTA</t>
  </si>
  <si>
    <t>NO</t>
  </si>
  <si>
    <t>Nama Program/Kegiatan</t>
  </si>
  <si>
    <t>Perkiraan Pagu dana (Rp)</t>
  </si>
  <si>
    <t>Lokasi/Padukuhan</t>
  </si>
  <si>
    <t>Ket.</t>
  </si>
  <si>
    <t>BIDANG PENYELENGGARAN PEMERINTAHAN DESA</t>
  </si>
  <si>
    <t>Penyelenggaran Belanja Siltap, Tunjangan dan Operasional Pemerintahan Desa</t>
  </si>
  <si>
    <t>Penyediaan Operasional Pemerintah Desa (ATK, Honor PKPKD dan PPKD dll)</t>
  </si>
  <si>
    <t>Penyediaan Operasional BPD (rapat, ATK, Makan Minum, Pakaian Seragam, Listrik dll)</t>
  </si>
  <si>
    <t>Lain-lain Sub Bidang Siltap dan Operasional Pemerintahan Desa</t>
  </si>
  <si>
    <t>Penyediaan Sarana Prasarana Pemerintahan Desa</t>
  </si>
  <si>
    <t>Penyediaan Sarana (Aset Tetap) Perkantoran/Pemerintahan</t>
  </si>
  <si>
    <t>Pembangunan/Rehabilitasi/Peningkatan Gedung/Prasarana Kantor Desa **)</t>
  </si>
  <si>
    <t>Pengadaan peralatan kerja</t>
  </si>
  <si>
    <t>Pengadaan mebeleur</t>
  </si>
  <si>
    <t>Penyediaan jasa perbaikan/servis mebeleur</t>
  </si>
  <si>
    <t>Rehabilitasi/pemeliharaan kendaraan dinas/operasional</t>
  </si>
  <si>
    <t>Penyediaan jasa perbaikan/servis peralatan kerja</t>
  </si>
  <si>
    <t>Lain-lain Sub Bidang Sarana Prasarana Pemerintahan Desa</t>
  </si>
  <si>
    <t>Pengelolaan Administrasi Kependudukan, Pencatatan Sipil, Statistik dan Kearsipan</t>
  </si>
  <si>
    <t>Pelayanan Administrasi Umum dan  Kependudukan</t>
  </si>
  <si>
    <t>Penyusunan, Pendataan, dan Pemutakhiran Profil Desa **)</t>
  </si>
  <si>
    <t>Pengelolaan Adminstrasi dan Kearsipan Pemerintahan Desa</t>
  </si>
  <si>
    <t>Pendataan keluarga/rumah tangga miskin</t>
  </si>
  <si>
    <t>Lain-lain Sub Bidang Administrasi Kependudukan, Capil, Statistik dan Kearsipan</t>
  </si>
  <si>
    <t>Penyelenggaraan Tata Praja Pemerintahan, Perencanaan, Keuangan dan Pelaporan</t>
  </si>
  <si>
    <t>Penyelenggaraan Musyawarah Perencanaan Desa/Pembahasan APBDes (Reguler)</t>
  </si>
  <si>
    <t>Penyelenggaraan Musyawaran Desa Lainnya (Musdus, rembug desa Non Reguler)</t>
  </si>
  <si>
    <t>Penyusunan Dokumen Perencanaan Desa (RPJMDesa/RKPDesa dll)</t>
  </si>
  <si>
    <t>Penyusunan Dokumen Keuangan Desa (APBDes, APBDes Perubahan, LPJ dll)</t>
  </si>
  <si>
    <t>Pengelolaan Administrasi/ Inventarisasi/Penilaian Aset Desa</t>
  </si>
  <si>
    <t>Penyusunan Kebijakan Desa (Perdes/Perkades selain Perencanaan/Keuangan)</t>
  </si>
  <si>
    <t>Penyusunan Laporan Kepala Desa, LPPDesa dan Informasi Kepada Masyarakat</t>
  </si>
  <si>
    <t>Pengembangan Sistem Informasi Desa</t>
  </si>
  <si>
    <t>Koordinasi/Kerjasama Penyelenggaraan Pemerintahan &amp; Pembangunan Desa</t>
  </si>
  <si>
    <t>Dukungan &amp; Sosialisasi Pelaksanaan Pilkades, Pemilihan Ka. Kewilayahan &amp; BPD</t>
  </si>
  <si>
    <t>Penyusunan laporan keuangan bulanan/SPJ dan semesteran</t>
  </si>
  <si>
    <t>Pelaksanaan lomba/evaluasi perkembangan desa</t>
  </si>
  <si>
    <t>Penyusunan perencanaan pemanfaatan tata ruang desa</t>
  </si>
  <si>
    <t>Pengadaan pakaian dinas/seragam</t>
  </si>
  <si>
    <t>Monitoring dan evaluasi kegiatan pembangunan</t>
  </si>
  <si>
    <t>Lain-lain Sub Bidang Tata Praja Pemerintahan, Perencanaan, Keuangan &amp; Pelaporan</t>
  </si>
  <si>
    <t>Sertifikasi Tanah Kas Desa</t>
  </si>
  <si>
    <t>Administrasi Pertanahan (Pendaftaran Tanah dan Pemberian Registrasi Agenda Pertanahan)</t>
  </si>
  <si>
    <t>Adminstrasi Pajak Bumi dan Bangunan (PBB)</t>
  </si>
  <si>
    <t>Penentuan/Penegasan Batas/patok Tanah Kas Desa</t>
  </si>
  <si>
    <t xml:space="preserve">Pelepasan dan Pengadaan pengganti tanah desa </t>
  </si>
  <si>
    <t>Penyelesaian tukar menukar tanah desa dengan tanah milik perorangan/lembaga</t>
  </si>
  <si>
    <t>Perapatan patok batas desa</t>
  </si>
  <si>
    <t>Lain-lain Sub Bidang Pertanahan</t>
  </si>
  <si>
    <t>BIDANG PELAKSANAAN PEMBANGUNAN DESA</t>
  </si>
  <si>
    <t>Penyelenggaran PAUD/TK/TPA/TKA/TPQ/Madrasah NonFormal Milik Desa (Honor, Pakaian dll)</t>
  </si>
  <si>
    <t>Dukungan Penyelenggaran PAUD (APE, Sarana PAUD dst)</t>
  </si>
  <si>
    <t>Pemeliharaan Sarana Prasarana PAUD/TK/TPA/TKA/TPQ/Madrasah Nonformal Milik Desa</t>
  </si>
  <si>
    <t>Pembangunan/Rehabilitasi/Peningkatan/Pengadaan Sarana/Prasarana/Alat Peraga   PAUD/ TK/TPA/TKA/TPQ/Madrasah Nonformal</t>
  </si>
  <si>
    <t>Pengelolaan Perpustakaan Milik Desa (Pengadaan Buku, Honor, Taman Baca)</t>
  </si>
  <si>
    <t>Dukungan Pendidikan bagi Siswa Miskin/Berprestasi</t>
  </si>
  <si>
    <t>Pembangunan/rehabilitasi Gedung PAUD/TK Milik Desa</t>
  </si>
  <si>
    <t>Pembinaan taman bacaan masyarakat</t>
  </si>
  <si>
    <t>Lain-lain Kegiatan Sub Bidang Pendidikan</t>
  </si>
  <si>
    <t>Penyelenggaraan Pos Kesehatan Desa/Polindes Milik Desa (obat, Insentif, KB, dsb)</t>
  </si>
  <si>
    <t>Penyelenggaraan Posyandu (Mkn Tambahan, Kls Bumil, Lamsia, Insentif)</t>
  </si>
  <si>
    <t>Penyuluhan dan Pelatihan Bidang Kesehatan (Untuk Masy, Tenaga dan Kader Kesehatan dll)</t>
  </si>
  <si>
    <t>Pengasuhan Bersama atau Bina Keluarga Balita (BKB)</t>
  </si>
  <si>
    <t>Pemeliharaan Sarana Prasarana Posyandu/Polindes/PKD</t>
  </si>
  <si>
    <t>Pembangunan/Rehabilitasi/Peningkatan/Pengadaan Sarana/Prasarana Posyandu/Polindes/PKD **</t>
  </si>
  <si>
    <t>Penyelenggaraan Pos Pembinaan Terpadu (Posbindu)</t>
  </si>
  <si>
    <t>Pembinaan Gerakan Masyarakat Hidup Sehat (Germas)</t>
  </si>
  <si>
    <t>Pembinaan taman obat keluarga (Toga)</t>
  </si>
  <si>
    <t>Penyelenggaraan kesehatan lingkungan</t>
  </si>
  <si>
    <t>Penyusunan data mengenai kesehatan masyarakat</t>
  </si>
  <si>
    <t>Surveilan berbasis masyarakat</t>
  </si>
  <si>
    <t>Insentif kader kesehatan/KB</t>
  </si>
  <si>
    <t>Lain-lain Kegiatan Sub Bidang Kesehatan</t>
  </si>
  <si>
    <t>Pemeliharaan Jalan Lingkungan Pemukiman/Gang</t>
  </si>
  <si>
    <t>Pembangunan/Rehabilitas/Peningkatan/Pengerasan Jalan Desa **)</t>
  </si>
  <si>
    <t>Pembangunan/Rehabilitasi/Peningkatan/Pengerasan Jalan Lingkungan  Permukiman **)</t>
  </si>
  <si>
    <t>Pembangunan/Rehabilitasi/Peningkatan/Pengerasan Jalan Usaha Tani **)</t>
  </si>
  <si>
    <t>Pembangunan/Rehabilitasi/Peningkatan Prasarana Jalan Desa (Gorong, selokan dll)</t>
  </si>
  <si>
    <t>Pembangunan/Rehabilitasi/Peningkatan Balai Desa/Balai Kemasyarakatan **)</t>
  </si>
  <si>
    <t>Pembangunan/Rehabilitasi/Peningkatan Monumen/Gapura/Batas Desa **)</t>
  </si>
  <si>
    <t>Sub Bidang Kawasan Pemukiman</t>
  </si>
  <si>
    <t>Dukungan Pelaksanaan Program Pembangunan/Rehab Rumah Tidak Layak Huni GAKIN</t>
  </si>
  <si>
    <t>Pemeliharaan Sanitasi Pemukiman (Gorong-gorong, Selokan, Parit diluar Prasarana Jalan))</t>
  </si>
  <si>
    <t>Pembangunan/Rehabilitas/Peningkatan Fasilitas Jamban Umum/MCK umum, dll **)</t>
  </si>
  <si>
    <t>Pembangunan/Rehabilitasi/Peningkatan Taman/Taman Bermain Anak Milik Desa **)</t>
  </si>
  <si>
    <t>Pemberian stimulan jamban sehat</t>
  </si>
  <si>
    <t>Lain-lain Kegiatan Sub Bidang Perumahan Rakyat dan Kawasan Pemukiman</t>
  </si>
  <si>
    <t>Sub Bidang Kehutanan dan Lingkungan Hidup</t>
  </si>
  <si>
    <t>Sub Bidang Perhubungan, Komunikasi dan Informatika</t>
  </si>
  <si>
    <t>Pembuatan Rambu-rambu di Jalan Desa</t>
  </si>
  <si>
    <t>Penyelenggaraan Informasi Publik Desa (Poster, Baliho Dll)</t>
  </si>
  <si>
    <t>Pembuatan dan Pengelolaan Jaringan/Instalasi Komunikasi dan Informasi Lokal Desa</t>
  </si>
  <si>
    <t>Pengadaan sarana prasarana penerangan jalan desa/lingkungan permukiman</t>
  </si>
  <si>
    <t>Lain-lain Kegiatan Sub Bidang Perhubungan, Komunikasi dan Informatika</t>
  </si>
  <si>
    <t>Pengembangan Pariwisata Tingkat Desa</t>
  </si>
  <si>
    <t>Pembangunan/Rehabilitasi Rest Area Milik Desa</t>
  </si>
  <si>
    <t>Lain-Lain Legiatan Sub Bidang Pariwisata</t>
  </si>
  <si>
    <t>BIDANG PEMBINAAN KEMASYARAKATAN</t>
  </si>
  <si>
    <t>Sub Bidang Ketenteraman, Ketertiban Umum dan Perlindungan Masyarakat</t>
  </si>
  <si>
    <t>Pengadaan/Penyelenggaran Pos Keamanan Desa</t>
  </si>
  <si>
    <t>Penguatan &amp; Peningkatan Kapasitas Tenaga Keamanan/Ketertiban oleh Pemdes</t>
  </si>
  <si>
    <t>Koordinasi Pembinaan Keamanan, Ketertiban &amp; Perlindungan Masy. Skala Lokal Desa</t>
  </si>
  <si>
    <t>Persiapan Kesiapsiagaan/Tanggap Bencana Skala Lokal Desa</t>
  </si>
  <si>
    <t>Pengadaan peralatan pendukung keamanan dan ketertiban massyarakat</t>
  </si>
  <si>
    <t>Pengadaan sarana prasarana pendukung kesiapsiagaan bencana</t>
  </si>
  <si>
    <t>Pembinaan Jaga Warga</t>
  </si>
  <si>
    <t>Penyelenggaraan Desa Bersih Narkoba (Desa Bersinar)</t>
  </si>
  <si>
    <t>Pengadaan seragam Satlinmas</t>
  </si>
  <si>
    <t>Pengembangan desa/kelompok  masyarakat sadar hukum</t>
  </si>
  <si>
    <t>Lain-lain Kegiatan Sub Bidang Ketenteraman, Ketertiban Umum dan Perlindungan Masyarakat</t>
  </si>
  <si>
    <t>Sub Bidang Kebudayaan dan Keagamaan</t>
  </si>
  <si>
    <t>Pembinaan Group Kesenian dan Kebudayaan Tingkat Desa</t>
  </si>
  <si>
    <t>Penyelenggaran Festival Kesenian, Adat/Kebudayaan, dan Kegamaan (HUT RI, Raya Keagamaan dll)</t>
  </si>
  <si>
    <t>Pelaksanaan upacara adat/tradisi daerah tingkat desa</t>
  </si>
  <si>
    <t>Pembinaan dan pengembangan  sanggar seni budaya</t>
  </si>
  <si>
    <t>Pelaksanaan sunatan massal</t>
  </si>
  <si>
    <t>Sub Bidang Kepemudaan dan Olahraga</t>
  </si>
  <si>
    <t>Pengiriman Kontingen Kepemudaan &amp; Olahraga Sebagai Wakil Desa tkt Kec/Kab/Kota</t>
  </si>
  <si>
    <t>Penyelenggaraan Pelatihan Kepemudaan Tingkat Desa</t>
  </si>
  <si>
    <t>Penyelenggaraan Festival/Lomba Kepemudaan dan Olaraga Tingkat Desa</t>
  </si>
  <si>
    <t>Pemeliharaan Sarana dan Prasarana Kepemudaan dan Olahraga Milik Desa</t>
  </si>
  <si>
    <t>Pembangunan/Rehabilitasi/Peningkatan Sarana dan Prasarana Kepemudaan &amp; Olahraga Milik Desa</t>
  </si>
  <si>
    <t>Pembinaan Karangtaruna/Klub Kepemudaan/Olahraga Tingkat Desa</t>
  </si>
  <si>
    <t>Pelaksanaan peringatan hari besar nasional</t>
  </si>
  <si>
    <t>Pembangunan/rehabilitasi Gedung Serbaguna/Pertemuan milik desa</t>
  </si>
  <si>
    <t>Operasional Karang Taruna</t>
  </si>
  <si>
    <t>Lain-lain Kegiatan Sub Bidang Kepemudaan dan Olahraga</t>
  </si>
  <si>
    <t>Sub Bidang Kelembagaan Masyarakat</t>
  </si>
  <si>
    <t>Optimalisasi peran Tim Koordinasi Penanggulangan Kemiskinan Desa (TKPK Desa)</t>
  </si>
  <si>
    <t>Pembinaan RT/RW</t>
  </si>
  <si>
    <t>Operasional LPMD dan/atau LPMD</t>
  </si>
  <si>
    <t>Lain-lain Sub Bidang Kelembagaan Masyarakat</t>
  </si>
  <si>
    <t>BIDANG PEMBERDAYAAN MASYARAKAT</t>
  </si>
  <si>
    <t>Bantuan Perikanan (Bibit/Pakan/dll)</t>
  </si>
  <si>
    <t>Sub Bidang Pertanian dan Peternakan</t>
  </si>
  <si>
    <t>Peningkatan Produksi Tanaman Pangan (alat produksi/pengelolaan/penggilingan)</t>
  </si>
  <si>
    <t>Pelatihan pengolahan hasil pertanian/peternakan</t>
  </si>
  <si>
    <t>Pembinaan/Pemberdayaan kelompok tani/Gapoktan</t>
  </si>
  <si>
    <t>Pembangunan/rehabilitasi  lumbung desa</t>
  </si>
  <si>
    <t>Lain-lain Kegiatan Sub Bidang Pertanian dan Peternakan</t>
  </si>
  <si>
    <t>Sub Bidang Peningkatan Kapasitas Aparatur Desa</t>
  </si>
  <si>
    <t>Peningkatan Kapatitas Perangkat Desa</t>
  </si>
  <si>
    <t>Peningkatan Kapasitas BPD</t>
  </si>
  <si>
    <t>Lain-lain Kegiatan Sub Bidang Peningkatan Kapasitas Aparatur Desa</t>
  </si>
  <si>
    <t>Sub Bidang Pemberdayaan Perempuan, Perlindungan Anak dan Keluarga</t>
  </si>
  <si>
    <t>Pelatihan dan Penyuluhan Pemberdayaan Perempuan</t>
  </si>
  <si>
    <t>Pelatihan dan Penyuluhan Perlindungan Anak</t>
  </si>
  <si>
    <t>Pembinaan Gerakan Sayang Ibu (GSI)</t>
  </si>
  <si>
    <t>Pembinaan dan pengembangan Forum Anak Desa</t>
  </si>
  <si>
    <t>Pembinaan ketahanan keluarga</t>
  </si>
  <si>
    <t>Penyuluhan/pembinaan kesehatan reproduksi pada remaja</t>
  </si>
  <si>
    <t>Sub Bidang Dukungan Penanaman Modal</t>
  </si>
  <si>
    <t>Pembentukan/Fasilitasi/Pelatihan/Pendampingan kelompok usaha ekonomi produktif</t>
  </si>
  <si>
    <t>BIDANG PENANGGULANGAN BENCANA, DARURAT DAN MENDESAK DESA</t>
  </si>
  <si>
    <t>Sub Bidang Penanggulangan Bencana</t>
  </si>
  <si>
    <t>Kegiatan Penanggulanan Bencana</t>
  </si>
  <si>
    <t>Sub Bidang Keadaan Darurat</t>
  </si>
  <si>
    <t>Penanganan Keadaan Darurat</t>
  </si>
  <si>
    <t>Sub Bidang Keadaan Mendesak</t>
  </si>
  <si>
    <t>Penanganan Keadaan Mendesak</t>
  </si>
  <si>
    <t>Budi Setiyanto</t>
  </si>
  <si>
    <t>Planjan</t>
  </si>
  <si>
    <t>Prakiraan Volume</t>
  </si>
  <si>
    <t>Waktu Pelaksanaan</t>
  </si>
  <si>
    <t>Prakiraan Pola Pelaksanaan</t>
  </si>
  <si>
    <t>Sub Bidang</t>
  </si>
  <si>
    <t>Jenis Kegiatan</t>
  </si>
  <si>
    <t xml:space="preserve">Sumber </t>
  </si>
  <si>
    <t>Swakelola</t>
  </si>
  <si>
    <t>Kerjasama Pihak Ketiga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</si>
  <si>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</si>
  <si>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</si>
  <si>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</si>
  <si>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</si>
  <si>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</si>
  <si>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</si>
  <si>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</si>
  <si>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</si>
  <si>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</si>
  <si>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</si>
  <si>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</si>
  <si>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n</t>
  </si>
  <si>
    <t>o</t>
  </si>
  <si>
    <t>p</t>
  </si>
  <si>
    <t>√</t>
  </si>
  <si>
    <t>PKK</t>
  </si>
  <si>
    <t>LPMD</t>
  </si>
  <si>
    <t>Pengadaan mesin/kartu absensi</t>
  </si>
  <si>
    <t>Masyarakat</t>
  </si>
  <si>
    <t>Paket</t>
  </si>
  <si>
    <t>Balita</t>
  </si>
  <si>
    <t>Pembangunan MCK Balai Padukuhan</t>
  </si>
  <si>
    <t>14 Padukuhan</t>
  </si>
  <si>
    <t>Pengembangan Sanitasi Terpadu Berbasis Masyarakat (STBM)</t>
  </si>
  <si>
    <t>E</t>
  </si>
  <si>
    <t>Pengaspalan Jalan Lingkungan</t>
  </si>
  <si>
    <t>14 padukuhan</t>
  </si>
  <si>
    <t>Pucung Rt 06</t>
  </si>
  <si>
    <t>Klepu</t>
  </si>
  <si>
    <t>Sumber</t>
  </si>
  <si>
    <t>j</t>
  </si>
  <si>
    <t>Karang</t>
  </si>
  <si>
    <t>Sengerang</t>
  </si>
  <si>
    <t>Pakel</t>
  </si>
  <si>
    <t>Jambu-Blimbing</t>
  </si>
  <si>
    <t>Blimbing</t>
  </si>
  <si>
    <t>Tritis</t>
  </si>
  <si>
    <t>Tritis RT 02</t>
  </si>
  <si>
    <t>q</t>
  </si>
  <si>
    <t>Ngepoh</t>
  </si>
  <si>
    <t>bh</t>
  </si>
  <si>
    <t>Pucung</t>
  </si>
  <si>
    <t>wuluh</t>
  </si>
  <si>
    <t>F</t>
  </si>
  <si>
    <t>Pipanisasi</t>
  </si>
  <si>
    <t>G</t>
  </si>
  <si>
    <t>Pucung RT 02</t>
  </si>
  <si>
    <t>Pucung RT 03</t>
  </si>
  <si>
    <t>Legundi</t>
  </si>
  <si>
    <t>Jambu-Klepu</t>
  </si>
  <si>
    <t>r</t>
  </si>
  <si>
    <t>s</t>
  </si>
  <si>
    <t>t</t>
  </si>
  <si>
    <t>legundi</t>
  </si>
  <si>
    <t>Bh</t>
  </si>
  <si>
    <t>Pelatihan dan pengembangan pupuk organik</t>
  </si>
  <si>
    <t>B</t>
  </si>
  <si>
    <t>Kali</t>
  </si>
  <si>
    <t>Linmas</t>
  </si>
  <si>
    <t>C</t>
  </si>
  <si>
    <t>D</t>
  </si>
  <si>
    <t>MURYONO ASIH SULISTIYO</t>
  </si>
  <si>
    <t>masyarakat</t>
  </si>
  <si>
    <t>PROPINSI</t>
  </si>
  <si>
    <t>: D.I.Y</t>
  </si>
  <si>
    <t>Kode Rekening</t>
  </si>
  <si>
    <t>Uraian</t>
  </si>
  <si>
    <t>Perkiraan Pagu</t>
  </si>
  <si>
    <t>Penyelenggaraan Belnaja Siltap, Tunjangan dan Oprasional Pemerintah Desa</t>
  </si>
  <si>
    <t>Penyediaan  Operasional Pemerintah  Desa  (ATK,  Honor PKPKD dan PPKD dll)</t>
  </si>
  <si>
    <t>Penyediaan Saran Prasrana Pemerintah Desa</t>
  </si>
  <si>
    <t>Penyedian jasa perbaikan/servis mebeluer</t>
  </si>
  <si>
    <t>Pengelolaan Administrasi Kependudukan, Pencatatan Sipil, Statistik dan kearsipan</t>
  </si>
  <si>
    <t>Pendataan Keluarga / Rumah Tangga Miskin</t>
  </si>
  <si>
    <t>Penghargaan Purna Tugas Aparatur Pemerintahan Desa</t>
  </si>
  <si>
    <t>Pengadaan Pakaian/Seragam Dinas</t>
  </si>
  <si>
    <t>Penyelesaian Tukar Menukar tanah desa dengan tanah milik perorangan/lembaga</t>
  </si>
  <si>
    <t>Penyuluhan dan Pelatihan Bidang Kesehatan (untuk Masyarakat, Tenaga Kesehatan, Kader Kesehatan, dll)</t>
  </si>
  <si>
    <t xml:space="preserve">Insentif kader kesehatan/KB </t>
  </si>
  <si>
    <t>Pembangunan/Rehabilitas/Peningkatan/Pengerasan Jalan Desa **) aspal</t>
  </si>
  <si>
    <t>Pembangunan/Rehabilitasi/Peningkatan Prasarana Jalan Desa (Gorong, selokan, talud dll)</t>
  </si>
  <si>
    <t>Pemberian  stimulan jamban sehat</t>
  </si>
  <si>
    <t>Penyelenggaraan Informasi Publik Desa (Poster, Baliho Dll) ( Pembuatan Papan Informasi )</t>
  </si>
  <si>
    <t>90</t>
  </si>
  <si>
    <t>Pembinaan Kelembagaan Desa Tangguh Bencana</t>
  </si>
  <si>
    <t>BHP/R, PAD</t>
  </si>
  <si>
    <t>Pemeliharaan Sarana Prasarana Kebudayaan, Rumah Adat, dan Keagamaan Milik Desa</t>
  </si>
  <si>
    <t>Peningkatan Produksi Peternakan (Alat Produksi dan pengolahan peternakan,kandang, dll)</t>
  </si>
  <si>
    <t>Pelatihan/Bimtek/PengenalanTekonologiTepatGunauntukPertanian/Peternakan</t>
  </si>
  <si>
    <t>Pelatihan/Penyuluhan Pemberdayaan Perempuan</t>
  </si>
  <si>
    <t>Pelatihan/Penyuluhan Perlindungan Anak</t>
  </si>
  <si>
    <t>Penyelenggaraan Desa Layak Anak (Delana)</t>
  </si>
  <si>
    <t>Pembinaan pola pengasuhan dan tumbuh kembang anak</t>
  </si>
  <si>
    <t>Pelatihan Pengelolaan Bumdes</t>
  </si>
  <si>
    <t xml:space="preserve">Belanja Penyertaan Modal BUMDesa </t>
  </si>
  <si>
    <t>Sub Bidang Perdagangan dan Perindustrian</t>
  </si>
  <si>
    <t>Pembentukan/Fasilitasi/Pelatihan/Pendampingan kelompok usaha ekonomi produktif (pengrajin, pedagang, industri rumah tangga, dll)</t>
  </si>
  <si>
    <t>Penyedian Bahan untuk Keadaan Darurat</t>
  </si>
  <si>
    <t>JUMLAH BELANJA DESA</t>
  </si>
  <si>
    <t xml:space="preserve">Mengetahui </t>
  </si>
  <si>
    <t>Penyusun</t>
  </si>
  <si>
    <t>DAFTAR HASIL PENGGALIAN GAGASAN MUSYAWARAH PADUKUHAN</t>
  </si>
  <si>
    <t>USULAN KEGIATAN  RPJM Kalurahan 2022 s/d 2027</t>
  </si>
  <si>
    <t>KALURAHAN</t>
  </si>
  <si>
    <t>KAPANEWON</t>
  </si>
  <si>
    <t>: D.I. YOGYAKARTA</t>
  </si>
  <si>
    <t>Bidang/ Jenis Kegiatan</t>
  </si>
  <si>
    <t>Lokasi 
(RT/RW/ Dusun)</t>
  </si>
  <si>
    <t>Sasaran/ Manfaat</t>
  </si>
  <si>
    <t>Prakiraan Biaya dan Sumber Pembiayaan</t>
  </si>
  <si>
    <t>Bidang</t>
  </si>
  <si>
    <t>Tahun 1 (2022)</t>
  </si>
  <si>
    <t>Tahun 2 (2023)</t>
  </si>
  <si>
    <t>Tahun 3 (2024)</t>
  </si>
  <si>
    <t>Tahun 4 (2025)</t>
  </si>
  <si>
    <t>Tahun 5 (2026)</t>
  </si>
  <si>
    <t>Tahun 6 (2027)</t>
  </si>
  <si>
    <t>Jmlh (Rp)</t>
  </si>
  <si>
    <t>Sumber Dana</t>
  </si>
  <si>
    <t>Kerjasama Antar Desa</t>
  </si>
  <si>
    <t>c.</t>
  </si>
  <si>
    <t>u</t>
  </si>
  <si>
    <t>Bidang Penyelenggaraan Pemerintahan Desa</t>
  </si>
  <si>
    <t>a.</t>
  </si>
  <si>
    <t>Penyelenggaraan Belanja Siltap, Tunjangan dan Operasional Pemerintahan Desa</t>
  </si>
  <si>
    <t>Kalurahan Planjan</t>
  </si>
  <si>
    <t xml:space="preserve">Tahun </t>
  </si>
  <si>
    <t>Terpenuhinya Penghasilan Tetap dan Tunjangan Kepala Desa/Lurah</t>
  </si>
  <si>
    <t>Terpenuhinya Pengasilan Tetap dan Tunjangan Pamong Kalurahan</t>
  </si>
  <si>
    <t>Terpenuhinya Jaminan Sosial Bagi Lurah dan Pamong Kalurahan</t>
  </si>
  <si>
    <t>Tersedianya Operasiona Pemrintah kalurahan</t>
  </si>
  <si>
    <t>Tersedianya Tunjangan Bamuskal</t>
  </si>
  <si>
    <t>Tersedianya  Operasional Bamuskal</t>
  </si>
  <si>
    <t>Tersdianya Insentif/Operasional RT/RW</t>
  </si>
  <si>
    <t>Pengadaan Seragam RT/RW</t>
  </si>
  <si>
    <t>13 Padukuhan</t>
  </si>
  <si>
    <t>Terpenuhinya  Seragam RT/RW</t>
  </si>
  <si>
    <t>Meningkatnya Kapasitas RT/RW</t>
  </si>
  <si>
    <t xml:space="preserve">b. </t>
  </si>
  <si>
    <t>Penyediaan Sarana Prasarana Pemerintah Desa</t>
  </si>
  <si>
    <t>tersedianya Sarana (Aset Tetap) Perkantoran/Pemerintahan</t>
  </si>
  <si>
    <t>Terpeliharanya Gedung/Prasarana Kantor Desa</t>
  </si>
  <si>
    <t>ADD, BHP/R</t>
  </si>
  <si>
    <t>Terbangunnya Gedung/Prasarana Kantor Desa **)</t>
  </si>
  <si>
    <t>a. Pembangunan Ruang Dukuh</t>
  </si>
  <si>
    <t>Terbangunnya Ruang Dukuh</t>
  </si>
  <si>
    <t>BHP/R, ADD</t>
  </si>
  <si>
    <t>b. Rehabilitasi Peningkatan kantor Kalurahan</t>
  </si>
  <si>
    <t>Kalurahan Planjann</t>
  </si>
  <si>
    <t>paket</t>
  </si>
  <si>
    <t>Peningkatan kantor Kalurahan</t>
  </si>
  <si>
    <t>Terpenuhinya peralatan kerja</t>
  </si>
  <si>
    <t>BHPR</t>
  </si>
  <si>
    <t xml:space="preserve">Kalurahan Planjan </t>
  </si>
  <si>
    <t>Tepenuhinya  mebeleur</t>
  </si>
  <si>
    <t>Tersedianya jasa perbaikan/servis mebeleur</t>
  </si>
  <si>
    <t>Terpeliharanya  kendaraan dinas/operasional</t>
  </si>
  <si>
    <t>tersedianya jasa perbaikan/servis peralatan kerja</t>
  </si>
  <si>
    <t>Terpenuhinya mesin/kartu absensi</t>
  </si>
  <si>
    <t>Terpenuhinya Pelayanan Administrasi Umum dan  Kependudukan</t>
  </si>
  <si>
    <t>Penyuluhan dan Penyadaran Masyarakat tentang Kependudukan dan Capil</t>
  </si>
  <si>
    <t>APBD II</t>
  </si>
  <si>
    <t>Pemetaan dan Analisis Kemiskinan Desa secara Partisipatif</t>
  </si>
  <si>
    <t xml:space="preserve">d. </t>
  </si>
  <si>
    <t>BKK</t>
  </si>
  <si>
    <t>ADD,BHP/R</t>
  </si>
  <si>
    <t>Penghargaan purna tugas bagi aparatur pemerintahan desa</t>
  </si>
  <si>
    <t>ADD, BHPR</t>
  </si>
  <si>
    <t xml:space="preserve">e. </t>
  </si>
  <si>
    <t>PUNGUTAN</t>
  </si>
  <si>
    <t>Kegiatan Penyuluhan Pertanahan</t>
  </si>
  <si>
    <t>PAD, ADD</t>
  </si>
  <si>
    <t>BKK, APBD I, II</t>
  </si>
  <si>
    <t>Jumlah Penyelenggaraan Pemerintahan Desa</t>
  </si>
  <si>
    <t xml:space="preserve"> Bidang Pembangunan Desa</t>
  </si>
  <si>
    <t xml:space="preserve">Sub Bidang Pendidikan </t>
  </si>
  <si>
    <t>Pengadaan APE luar TK aba Pucung</t>
  </si>
  <si>
    <t>Siswa Tk</t>
  </si>
  <si>
    <t>Pengadaan APE luar TK aba Legundi</t>
  </si>
  <si>
    <t>Pengadaan APE PAUD dan TK Ngepoh</t>
  </si>
  <si>
    <t>Siswa Paud</t>
  </si>
  <si>
    <t>Pengadaan APE daalam TK Klepu</t>
  </si>
  <si>
    <t>Pengadaan Mebeler Paud Klepu</t>
  </si>
  <si>
    <t>Pendidik dan Siswa Paud</t>
  </si>
  <si>
    <t>Pengadaan APE PAUD Planjan</t>
  </si>
  <si>
    <t>Pengadaan APE TK Planjan</t>
  </si>
  <si>
    <t>Pembangunan Gedung TK Pucung</t>
  </si>
  <si>
    <t>Rehap gedung PUD GUPI Pakel</t>
  </si>
  <si>
    <t>Pembangunan Gedung TK Pakel</t>
  </si>
  <si>
    <t>Rehap gedung PUD  Klepu</t>
  </si>
  <si>
    <t>Rehap Gedung PAUD Ngepoh</t>
  </si>
  <si>
    <t>Rehap TK Legundi</t>
  </si>
  <si>
    <t>Lantainisasi gedung PAUD Tunas Harapan Klepu</t>
  </si>
  <si>
    <t>Rehabilitasi Gedung TK dan PAUD Sumber</t>
  </si>
  <si>
    <t xml:space="preserve">Pembangunan Gedung TK dan PAUD Planjan </t>
  </si>
  <si>
    <t xml:space="preserve">Rehabilitasi Gedung PAUD </t>
  </si>
  <si>
    <t xml:space="preserve">Wuluh </t>
  </si>
  <si>
    <t>Pembangunan Gedung TK</t>
  </si>
  <si>
    <t>Pembangunan SD BOPKRI Planjan</t>
  </si>
  <si>
    <t>Pengadaan alat peraga PAUD Ngepoh</t>
  </si>
  <si>
    <t>Pengadaan Sarana Prasarana TPA Jambu</t>
  </si>
  <si>
    <t>jambu</t>
  </si>
  <si>
    <t>Pembangunan Pagar SD N Planjan 1</t>
  </si>
  <si>
    <t>Pengadaan Sragam PAUD Legundi</t>
  </si>
  <si>
    <t>Siswa</t>
  </si>
  <si>
    <t>Pengadaan Sragam PAUD Ngepoh</t>
  </si>
  <si>
    <t>siswa</t>
  </si>
  <si>
    <t>Honor Tendik PAUD Legundi</t>
  </si>
  <si>
    <t>Honor Tendik PAUD Ngepoh</t>
  </si>
  <si>
    <t>Honor Tendik Paud Klepu</t>
  </si>
  <si>
    <t>Pengadaan Sragam Guru PAUD Jambu</t>
  </si>
  <si>
    <t>Honor Tendik PAUD dan TK Sumber</t>
  </si>
  <si>
    <t>Honor Tendik TK dan PAUD Planjan</t>
  </si>
  <si>
    <t>Pemberian Honor Guru TPA</t>
  </si>
  <si>
    <t>Dukungan Pendidikan bagi Siswa Miskin/Berprestasi Padukuhan Tritis</t>
  </si>
  <si>
    <t>Dukungan Pendidikan bagi Siswa Miskin/Berprestasi Padukuhan Ngalang-alangsari</t>
  </si>
  <si>
    <t xml:space="preserve">Ngalsari </t>
  </si>
  <si>
    <t>Pembinaan taman bacaan masyarakat Padukuhan Tritis</t>
  </si>
  <si>
    <t>Pembinaan taman bacaan masyarakat Padukuhan Ngalang alangsari</t>
  </si>
  <si>
    <t>Penyelenggaraan Posyandu</t>
  </si>
  <si>
    <t>padukuhan</t>
  </si>
  <si>
    <t>PMT Lansia</t>
  </si>
  <si>
    <t>Padukuhan</t>
  </si>
  <si>
    <t>DS</t>
  </si>
  <si>
    <t>Insentif kader Posyandu</t>
  </si>
  <si>
    <t>PMT Bumil</t>
  </si>
  <si>
    <t xml:space="preserve">Planjan </t>
  </si>
  <si>
    <t>Pembinaan/Pemberian Obat/Vitamin Bagi Posyandu Jambu</t>
  </si>
  <si>
    <t>Padukuhan Jambu</t>
  </si>
  <si>
    <t xml:space="preserve">Penyelengaraan Pos Kesehatan Desa Polindes </t>
  </si>
  <si>
    <t>Pengadaan Taman Obat Keluarga Legundi</t>
  </si>
  <si>
    <t>Pembinanaa Taman Obat Keluarga padukuhan Tritis</t>
  </si>
  <si>
    <t>Penyuluhan dan Pelatihan Bidang Kesehatan Kalurahan (Untuk Masy, Tenaga dan Kader Kesehatan dll)</t>
  </si>
  <si>
    <t>Kader</t>
  </si>
  <si>
    <t xml:space="preserve">Insentif Kader Kesehatan </t>
  </si>
  <si>
    <t>Honor Kader Kesehatan PPKBD</t>
  </si>
  <si>
    <t>PMT Balita</t>
  </si>
  <si>
    <t>Pengadaan Tikar Yandu Pakel</t>
  </si>
  <si>
    <t>Padukuhan Pakel</t>
  </si>
  <si>
    <t>Peningkatan Sarana Prasarana Posyandu Pakel</t>
  </si>
  <si>
    <t>Padukuhan pakel</t>
  </si>
  <si>
    <t>Pengadaan Alat Posyandu Ngepoh</t>
  </si>
  <si>
    <t>Padukuhan Ngepoh</t>
  </si>
  <si>
    <t>Pengadaan Alat Pengukur Tinggi Badan,Timbangan Lansia dan Balita Blimbing</t>
  </si>
  <si>
    <t>Padukuhan Blimbing</t>
  </si>
  <si>
    <t>Pengadaan Sarana dan prasarana Posbindu Blimbing</t>
  </si>
  <si>
    <t>Pengadaan Timbangan Yandu Lansia Klepu</t>
  </si>
  <si>
    <t>Padukuhan Klepu</t>
  </si>
  <si>
    <t>Pengadaan Alat Posyandu Sumber</t>
  </si>
  <si>
    <t>Padukuhan Sumber</t>
  </si>
  <si>
    <t>Pembmbangunan/Rehabilitasi Pos Yandu Tritis</t>
  </si>
  <si>
    <t>Padukuhan Tritis</t>
  </si>
  <si>
    <t>Pengadaan Sarana prasarana Posyandu Tritis</t>
  </si>
  <si>
    <t>Pengadaan Sarana Prasarana Posyandu Planjan</t>
  </si>
  <si>
    <t>Padukuhan planjan</t>
  </si>
  <si>
    <t>Pengadaan Seragam Kader Kesehatan Planjan</t>
  </si>
  <si>
    <t>Pengadaan Timbangan dan pengukur tinggi badan posyandu Ngalang-alangsari</t>
  </si>
  <si>
    <t>Padukuhan Ngalangalangsari</t>
  </si>
  <si>
    <t>Pengadaan Alat Posyandu Sengerang ( Tensi,Timbangan, pengukur tinggi badan Tikar dan seragam Kader )</t>
  </si>
  <si>
    <t>Padukuhan Sengerang</t>
  </si>
  <si>
    <t>Penggadaan Seragam Kader Kesehatan Karang</t>
  </si>
  <si>
    <t>Padukuhan Karang</t>
  </si>
  <si>
    <t>Pengadaadn seragam Kader Kesehatan Ngalang-alangsari</t>
  </si>
  <si>
    <t>Kader Sehat</t>
  </si>
  <si>
    <t>Pengadaan Sarana dan prasarana Kader Karang</t>
  </si>
  <si>
    <t>Pengembangan Sanitasi Terpadu Berbasis Masyarakat (STBM) Padukuhan Tritis</t>
  </si>
  <si>
    <t>Pemeliharaan Sarana Prasarana Posyandu Tritis</t>
  </si>
  <si>
    <t>Foging Dusun Sumber</t>
  </si>
  <si>
    <t>sumber</t>
  </si>
  <si>
    <t>Pengadaan Armada pengelolaan Sampah Sumber</t>
  </si>
  <si>
    <t>Pengadaan Ambulance Desa</t>
  </si>
  <si>
    <t>Kalurahan Planjan.</t>
  </si>
  <si>
    <t>Pembangunan Aspal Jalan Lingkungan RT 01 dan 03 Padukuhan Pucung</t>
  </si>
  <si>
    <t>Pucung RT 01 dan 03</t>
  </si>
  <si>
    <t xml:space="preserve">Pembangunan Aspal Jalan Lingkungan RT 04 Sampai RT  06 </t>
  </si>
  <si>
    <t>Pucung RT 04-06</t>
  </si>
  <si>
    <t>Pembangunan Aspal Jalan Lingkungan RT 01 Sampai RT  06</t>
  </si>
  <si>
    <t>Pucung RT 01-06</t>
  </si>
  <si>
    <t>Pembangunan Aspal Jalan Lingkungan RT 03</t>
  </si>
  <si>
    <t>Pembangunan Cor Rabat Beton</t>
  </si>
  <si>
    <t>Wuluh RT 01, 02,03 dan 04</t>
  </si>
  <si>
    <t>Pakel RT 04-05</t>
  </si>
  <si>
    <t>pakel RT 01-03</t>
  </si>
  <si>
    <t>Pakel RT 02-04</t>
  </si>
  <si>
    <t>Pakel RT 02-03</t>
  </si>
  <si>
    <t>Pakel RT02,04,06</t>
  </si>
  <si>
    <t>Ngepoh Rt 01-04</t>
  </si>
  <si>
    <t>Pembangunan Cor Blok</t>
  </si>
  <si>
    <t>Blimbing RT 03</t>
  </si>
  <si>
    <t>Blimbing RT 04</t>
  </si>
  <si>
    <t>Blimbing RT 05</t>
  </si>
  <si>
    <t>Klepu RT 04</t>
  </si>
  <si>
    <t>Sumber RT 01</t>
  </si>
  <si>
    <t>Sumber RT 02</t>
  </si>
  <si>
    <t>Sumber RT 06</t>
  </si>
  <si>
    <t>Sumber RT 04</t>
  </si>
  <si>
    <t>Sumber RT 05</t>
  </si>
  <si>
    <t>Sumber-Planjan</t>
  </si>
  <si>
    <t>Tritis RT 01</t>
  </si>
  <si>
    <t>Planjan RT  01-Tritis</t>
  </si>
  <si>
    <t>Planjan RT 03</t>
  </si>
  <si>
    <t>Ngalsari RT 01</t>
  </si>
  <si>
    <t>Karang RT 02</t>
  </si>
  <si>
    <t>Karang RT 04</t>
  </si>
  <si>
    <t>Sengerang RT 02-03</t>
  </si>
  <si>
    <t>Sengerang RT 03-01</t>
  </si>
  <si>
    <t>Sengerang RT 02</t>
  </si>
  <si>
    <t>Pembangunan Talud Jalan Lingkungan Pucung RT 02</t>
  </si>
  <si>
    <t>Pembangunan Gorong-Gorong</t>
  </si>
  <si>
    <t>Pembangunan Drainase</t>
  </si>
  <si>
    <t>Pucung RT 05</t>
  </si>
  <si>
    <t>Pembangunan Talud Jalan Lingkunan</t>
  </si>
  <si>
    <t>Pembangunan Gorong-gorong</t>
  </si>
  <si>
    <t>Wuluh RT 01,04 dan 05</t>
  </si>
  <si>
    <t>Pembangunan Talud RT 05</t>
  </si>
  <si>
    <t>Wuluh</t>
  </si>
  <si>
    <t>Pakel RT 01, 03, 05</t>
  </si>
  <si>
    <t>titik</t>
  </si>
  <si>
    <t>Pakel RT 01</t>
  </si>
  <si>
    <t>Pembangunan Talud</t>
  </si>
  <si>
    <t>Pakel RT 04</t>
  </si>
  <si>
    <t>Ngepoh RT 03</t>
  </si>
  <si>
    <t>Ngepoh RT 04</t>
  </si>
  <si>
    <t>Jambu RT 01 dan 04</t>
  </si>
  <si>
    <t>Pembangunan Slokan Dan Gorong-gorong</t>
  </si>
  <si>
    <t>Jambu</t>
  </si>
  <si>
    <t>Klepu RT 01</t>
  </si>
  <si>
    <t>Sumber RT 02-04</t>
  </si>
  <si>
    <t>Sumber RT 02-05</t>
  </si>
  <si>
    <t>Sumber RT 05-06</t>
  </si>
  <si>
    <t>Sumber RT 01-03</t>
  </si>
  <si>
    <t>Telaga Omang</t>
  </si>
  <si>
    <t>Planjan RT 01-Tritis</t>
  </si>
  <si>
    <t>Planjan RT 02-03</t>
  </si>
  <si>
    <t>Pembangunan Slokan</t>
  </si>
  <si>
    <t>Planjan RT 01-04</t>
  </si>
  <si>
    <t>Karang Rt 03</t>
  </si>
  <si>
    <t>Karang RT 01</t>
  </si>
  <si>
    <t>Pembangunan Drainase Jalan Desa</t>
  </si>
  <si>
    <t>Pengaspalan Jalan Desa(aspal)</t>
  </si>
  <si>
    <t>Pakel-Kanigoro</t>
  </si>
  <si>
    <t>APBD I</t>
  </si>
  <si>
    <t>Pembangunan CRB Jalan Desa</t>
  </si>
  <si>
    <t>jambu-Kanigoro</t>
  </si>
  <si>
    <t>Pembangunan Talud Jalan desa</t>
  </si>
  <si>
    <t>Blimbing-sumber</t>
  </si>
  <si>
    <t>Klepu-Karang</t>
  </si>
  <si>
    <t>Klepu -Karang</t>
  </si>
  <si>
    <t xml:space="preserve">Pembangunan/Pembukaan Jalan Usaha Tani </t>
  </si>
  <si>
    <t>Pembangunan Cor Blok Jalan Usaha Tani</t>
  </si>
  <si>
    <t>Pembukaan/Pembangunan Jalan Usaha Tani Ngasinan-Pucung</t>
  </si>
  <si>
    <t>Pucung RT 06</t>
  </si>
  <si>
    <t xml:space="preserve">Pembangunan Jalan Usaha tani </t>
  </si>
  <si>
    <t>Wuluh-Sumuran</t>
  </si>
  <si>
    <t>Pembangunan Jalan Usaha tani Wuluh</t>
  </si>
  <si>
    <t>Gedawung-Wuluh-Tritis</t>
  </si>
  <si>
    <t>Pertapan-Pucung</t>
  </si>
  <si>
    <t>Pembangunan Cor Blok Jalan Usaha Tani Wuluh</t>
  </si>
  <si>
    <t>Jeruk Wangi-Mbobok</t>
  </si>
  <si>
    <t>Pembangunan Cor Blok Jalan Usaha Tani Ngepoh</t>
  </si>
  <si>
    <t>Mbobok-Jeruk Wangi</t>
  </si>
  <si>
    <t>Pembangunan Jalan Usaha Tani</t>
  </si>
  <si>
    <t>Ngepoh-Legundi</t>
  </si>
  <si>
    <t>Klentoeng-Chabhe</t>
  </si>
  <si>
    <t>Pembangunan Cor Rabat Beton JUT</t>
  </si>
  <si>
    <t>Klepu-Jambu</t>
  </si>
  <si>
    <t>Ngempol-Sempu</t>
  </si>
  <si>
    <t>Sumber-Chabhe</t>
  </si>
  <si>
    <t>Normalisasi JUT</t>
  </si>
  <si>
    <t>Sumber-Dhampit</t>
  </si>
  <si>
    <t>Tritis-Ceper</t>
  </si>
  <si>
    <t>Tritis-Chabhe</t>
  </si>
  <si>
    <t>Pembangunan JUT Ngalang-alangsari</t>
  </si>
  <si>
    <t>Temanggung-JJLS</t>
  </si>
  <si>
    <t>Pembangunan CRB Jalan Usaha Tani</t>
  </si>
  <si>
    <t>Ngalang-alangsari-temanggung</t>
  </si>
  <si>
    <t>Jati -Sempu</t>
  </si>
  <si>
    <t xml:space="preserve">Pembangunan JUT </t>
  </si>
  <si>
    <t>JJLS-Temanggung</t>
  </si>
  <si>
    <t>Sengerang-Klepu</t>
  </si>
  <si>
    <t>Sengerang-Sempu</t>
  </si>
  <si>
    <t>Pembangunan JUT</t>
  </si>
  <si>
    <t>Ndlewangan-Jati</t>
  </si>
  <si>
    <t>Serut-Pakel</t>
  </si>
  <si>
    <t xml:space="preserve">Pemeliharaan Jalan Lingkungan </t>
  </si>
  <si>
    <t>Legundi RT 02</t>
  </si>
  <si>
    <t>Normalisasi Jalan Sumber-Omang</t>
  </si>
  <si>
    <t>Sumber-Omang</t>
  </si>
  <si>
    <t>100 m</t>
  </si>
  <si>
    <t>Pembangunan Gapura Batas Wilayah</t>
  </si>
  <si>
    <t xml:space="preserve">Pembangunan Gapura Batas RT </t>
  </si>
  <si>
    <t>karang</t>
  </si>
  <si>
    <t>Pembangunan/Rehabilitasi Balai Dusun</t>
  </si>
  <si>
    <t>Ngalang-alangsari</t>
  </si>
  <si>
    <t>Pengurukan Lahan Selatan balai Kalurahan</t>
  </si>
  <si>
    <t>Pem.Kal dan Masyarakat</t>
  </si>
  <si>
    <t>Pembangunan/Rehabilitasi/Peningkatan Pemakaman Milik Desa/Situs Bersejarah Milik Desa/Petilasan</t>
  </si>
  <si>
    <t>Perluasan Lahan Pemakaman Milik Desa</t>
  </si>
  <si>
    <t>Pembangunan Talud Makam</t>
  </si>
  <si>
    <t>Ngepoh (Makam)</t>
  </si>
  <si>
    <t>Pembangunan Talud dan Pagar Makam</t>
  </si>
  <si>
    <t>Jambu (Makam)</t>
  </si>
  <si>
    <t>Blimbing ( Makam)</t>
  </si>
  <si>
    <t>Pembangunan Talud (Kuburan ) RT 01</t>
  </si>
  <si>
    <t xml:space="preserve">Wuluh  </t>
  </si>
  <si>
    <t>Pembanguna Talud Kuburan</t>
  </si>
  <si>
    <t>Pembangunan/Rehabilitasi/Peningkatan Embung Desa **)</t>
  </si>
  <si>
    <t>Pembangunan Embung Desa</t>
  </si>
  <si>
    <t>Pem.Kal dan masyarakat</t>
  </si>
  <si>
    <t>Lain-lain Kegiatan Sub Bidang Pekerjaan Umum dan Tata Ruang</t>
  </si>
  <si>
    <t>Pengaspalan Jalan Kabupaten Ruas Pucung-Klepu (pucung)</t>
  </si>
  <si>
    <t>Pemiliharaan Jalan Kabupaten</t>
  </si>
  <si>
    <t>Planjan-Kanigoro</t>
  </si>
  <si>
    <t>Pembangunan Talud jalan Kabupaten Ruas Planjan-Kanigoro</t>
  </si>
  <si>
    <t>Gadril Jalan Nasional (JJLS)</t>
  </si>
  <si>
    <t>Planjan-Karang</t>
  </si>
  <si>
    <t>APBN</t>
  </si>
  <si>
    <t>Rehap Rumah Tidak Layak Huni</t>
  </si>
  <si>
    <t>Rehap Rumah Tidak Layak Huni Bagi KK tempel</t>
  </si>
  <si>
    <t>DDS, PIWK, APBD I</t>
  </si>
  <si>
    <t>Ngalang"sari</t>
  </si>
  <si>
    <t>Pembangunan/Rehabilitasi/Peningkatan Sistem Pembuangan Air Limbah **)</t>
  </si>
  <si>
    <t>Pemberian Stimual SPAL</t>
  </si>
  <si>
    <t>Blimbing RT 01</t>
  </si>
  <si>
    <t>karang RT 02-03</t>
  </si>
  <si>
    <t>Pembangunan/Rehabilitasi/Peningkatan Sambungan Air Bersih ke Rumah Tangga **)</t>
  </si>
  <si>
    <t>Peningkatan fasilitas Pipanisasi</t>
  </si>
  <si>
    <t>Saurah Air Rumahan</t>
  </si>
  <si>
    <t>Pipanisasi RT 02 dan 04</t>
  </si>
  <si>
    <t>Pembangunan MCK balai Padukuhan</t>
  </si>
  <si>
    <t>Pembangunan MCK Komunal</t>
  </si>
  <si>
    <t>Pembangunan Taman Bermain anak-anak</t>
  </si>
  <si>
    <t>Pembangunan/Rehabilitasi/Peningkatan Sumur Resapan **)</t>
  </si>
  <si>
    <t>Bimbing</t>
  </si>
  <si>
    <t>Pembangunan/Rehabilitasi/Peningkatan Fasilitas Pengelolaan Sampah **)</t>
  </si>
  <si>
    <t>Pembangunan Tempat Pengelolaan Sampah</t>
  </si>
  <si>
    <t>Pengelolaan Sampah</t>
  </si>
  <si>
    <t>Sarana Prasarana Pengelolaan Sampah</t>
  </si>
  <si>
    <t>Pembangunan fasilitas pengelolaan sampah</t>
  </si>
  <si>
    <t>ngalang"sari</t>
  </si>
  <si>
    <t>Sarana Dan Prasarana Fasilitas pengelolaan Sampah (Pengadaak Bak sampah)</t>
  </si>
  <si>
    <t>Pembinaan kelompok pelestari lingkungan hidup di desa</t>
  </si>
  <si>
    <t>Pembinaan Kelompok Kelestarian Lingkungan Hidup</t>
  </si>
  <si>
    <t>Pengadaan Bibit Buah</t>
  </si>
  <si>
    <t>btng</t>
  </si>
  <si>
    <t>Pengadaan Bibit Sengon</t>
  </si>
  <si>
    <t>btg</t>
  </si>
  <si>
    <t>Rehabilitasi kawasan/lahan kritis desa</t>
  </si>
  <si>
    <t>Pemberian Bibit tanaman Hutan</t>
  </si>
  <si>
    <t>Pengadaan Sarana Penerangan Jalan</t>
  </si>
  <si>
    <t>Pengadaan pemnerangan jalan Kabupaten</t>
  </si>
  <si>
    <t>Klepu-Pucung</t>
  </si>
  <si>
    <t xml:space="preserve">Ngepoh </t>
  </si>
  <si>
    <t xml:space="preserve">pengadaan Penerangan jalan </t>
  </si>
  <si>
    <t>pemasangan Meteran Listrik Pos Ronda</t>
  </si>
  <si>
    <t>Penerangan Makam Ndlewangan</t>
  </si>
  <si>
    <t>Pembuatan/Pemasangan jaringan Internet</t>
  </si>
  <si>
    <t>Pemasangan Rambu-Rambu jalan</t>
  </si>
  <si>
    <t>klepu</t>
  </si>
  <si>
    <t xml:space="preserve">Pembangunan/Rehabilitasi Rest Area Milik Desa </t>
  </si>
  <si>
    <t>Blok sawah Sumber</t>
  </si>
  <si>
    <t>Masyarakat dan Pem Kal</t>
  </si>
  <si>
    <t>DDS, APBD I</t>
  </si>
  <si>
    <t>Pembangunan Wisata Milik Desa (Telaga Omang)</t>
  </si>
  <si>
    <t>Jumlah Bidang Pembangunan Desa</t>
  </si>
  <si>
    <t>Bidang Pembinaaan Kemasyarakatan Desa</t>
  </si>
  <si>
    <t>Stel</t>
  </si>
  <si>
    <t>Pengadaan sarana pendukung siaga bencana</t>
  </si>
  <si>
    <t>Penbangunan POS Ronda</t>
  </si>
  <si>
    <t>Pembangunan POS Ronda</t>
  </si>
  <si>
    <t>Honor Linmas Meningkat</t>
  </si>
  <si>
    <t>Pembinaan satlinmas</t>
  </si>
  <si>
    <t xml:space="preserve">Pengadaan peralatan pendukung keamanan dan ketertiban massyarakat </t>
  </si>
  <si>
    <t>Masyarakt</t>
  </si>
  <si>
    <t>Bantuan Hukum Untuk Aparatur Desa dan Masyarakat Miskin</t>
  </si>
  <si>
    <t>Tahun</t>
  </si>
  <si>
    <t>Persiapan Kesiapsiagaan/Tanggap Bencana Skala Lokal Desa ( Tanah Longsor)</t>
  </si>
  <si>
    <t xml:space="preserve">Persiapan Kesiapsiagaan/Tanggap Bencana Skala Lokal Desa </t>
  </si>
  <si>
    <t>Pembinaan tanggap bencana sekala lokal</t>
  </si>
  <si>
    <t>Pembinaan masyarakat sadar Hukum</t>
  </si>
  <si>
    <t>kali</t>
  </si>
  <si>
    <t>Penyuluhan Bebas Narkoba</t>
  </si>
  <si>
    <t>Sub Bid.Kebudayaan dan Keagamaam</t>
  </si>
  <si>
    <t>Pengadaan karpet dan pengeras suara</t>
  </si>
  <si>
    <t>Masjid al-Barokah</t>
  </si>
  <si>
    <t>Pengadaan Lemari dan pengeras suara</t>
  </si>
  <si>
    <t>Masjid Al mukmin</t>
  </si>
  <si>
    <t>Pemberian speker aktif dan karpet</t>
  </si>
  <si>
    <t>masjid blimbing</t>
  </si>
  <si>
    <t xml:space="preserve">Pemberian Mukena </t>
  </si>
  <si>
    <t>Masjid Blimbing</t>
  </si>
  <si>
    <t>pemberian Kipas Angin</t>
  </si>
  <si>
    <t>Pemberian Al-Qur'an</t>
  </si>
  <si>
    <t>Masjid Klepu</t>
  </si>
  <si>
    <t>Pemberian Iqro</t>
  </si>
  <si>
    <t>Pemberian buku-buku TPA</t>
  </si>
  <si>
    <t>Pemberian Peralatan Perlengkapan Sholat</t>
  </si>
  <si>
    <t>Penyelengaraan festifal seni budaya</t>
  </si>
  <si>
    <t>Pembinaan lembaga desa pelestari adat</t>
  </si>
  <si>
    <t>Pembinaan Rois</t>
  </si>
  <si>
    <t>masyrakat</t>
  </si>
  <si>
    <t>Pembinaan Ustad-ustad</t>
  </si>
  <si>
    <t>Ustad</t>
  </si>
  <si>
    <t>Pemeliharaan Sarana Prasarana Kebudayaan, Rumah Adat dan Kegamaan Milik Desa</t>
  </si>
  <si>
    <t>Pengadaan seragam bergada</t>
  </si>
  <si>
    <t>pengadaan kendang dan gamelan reog</t>
  </si>
  <si>
    <t>Pucung RT 01</t>
  </si>
  <si>
    <t>pengadaan seragam gedok lesung</t>
  </si>
  <si>
    <t>Pucung RT 04</t>
  </si>
  <si>
    <t>Pengadaan seragam jatilan</t>
  </si>
  <si>
    <t>Pengadaan Seragam Sholawatan/terbangan</t>
  </si>
  <si>
    <t xml:space="preserve">Pengadaan Seragam Kerawitan </t>
  </si>
  <si>
    <t>Pengadaan Seragam Reog</t>
  </si>
  <si>
    <t>Pengadaan Seragam Sholawatan</t>
  </si>
  <si>
    <t>Pengadaan alat musik jatilan</t>
  </si>
  <si>
    <t xml:space="preserve">pengadaan seragam kerawitan </t>
  </si>
  <si>
    <t>pakel</t>
  </si>
  <si>
    <t xml:space="preserve">Pengadaan Seragam kerawitan dan jathil </t>
  </si>
  <si>
    <t>Pengadaan alat kesenian Thoklik</t>
  </si>
  <si>
    <t>Pengadaan alat gejok lesung</t>
  </si>
  <si>
    <t>Penngadaan Seragam TPA</t>
  </si>
  <si>
    <t>PengadaanSeragam dan alat musik kesenian</t>
  </si>
  <si>
    <t>pengadaan alat kerawitan (gamelan)</t>
  </si>
  <si>
    <t>pengadaan perlengkapan pemakaman</t>
  </si>
  <si>
    <t>Pengadaan seragam Kerawitan</t>
  </si>
  <si>
    <t>Pengadaan Gamelan</t>
  </si>
  <si>
    <t>Sarpras Masjid dan Gereja</t>
  </si>
  <si>
    <t>Pengadaan Rak Buku TPA</t>
  </si>
  <si>
    <t>Pembinaan dan pengembangan  Desa Budaya</t>
  </si>
  <si>
    <t>Lain-lain Kegiatan Sub Bidang Kebudayaan dan Keagamaan</t>
  </si>
  <si>
    <t>Pemberian Honor Rois</t>
  </si>
  <si>
    <t>Rehabilitasi/Pengerasan lapangan Bola Volly Wuluh</t>
  </si>
  <si>
    <t>Pengadaan lampu Penerangan Lapangan Bola volly Wuluh</t>
  </si>
  <si>
    <t>set</t>
  </si>
  <si>
    <t>pengadaan Lampu penerangan Lapangan Bola volly Legundi</t>
  </si>
  <si>
    <t>Set</t>
  </si>
  <si>
    <t>Pengadaan Kaos Tim pemain bola volly putra putri Legundi</t>
  </si>
  <si>
    <t>Pengadaan pagar jaring Lapangan Bola volly Legundi</t>
  </si>
  <si>
    <t>Pengadaan Lampu penerangan Lapangan bola volli Pakel</t>
  </si>
  <si>
    <t>Pengadaan Net dan Bola volli tim Pakel</t>
  </si>
  <si>
    <t>Pengadaan Peralatan Olah raga volli jambu</t>
  </si>
  <si>
    <t>Pengadaan Seragam Bola volli ,Bola,Net,Jaring lapangan bola volli</t>
  </si>
  <si>
    <t>Pengadaan Lampu Penerangan Lapangan bola volli blimbing</t>
  </si>
  <si>
    <t>Pengadaan Meja tenis beseta lampu penerangan</t>
  </si>
  <si>
    <t>Pengadaan Bola dan Net bola volli klepu</t>
  </si>
  <si>
    <t>Pengadaan sarana prasarana olahraga padukuhan planjan</t>
  </si>
  <si>
    <t>Pengadaan Seragam bola volli tritis</t>
  </si>
  <si>
    <t>Pengadaan bola dan seragam bola volli</t>
  </si>
  <si>
    <t>Penyelenggaraan Pelatihan kepemudaan Padukuhan Ngepoh</t>
  </si>
  <si>
    <t>Penyelenggaraan Festival/Lomba Kepemudaan Bola volli ngepoh</t>
  </si>
  <si>
    <t>Penyelenggaraan perlombaan Olah raga bola volli jambu</t>
  </si>
  <si>
    <t>Penyelenggaraan Festival kepemudaan olah raga tingkat Desa</t>
  </si>
  <si>
    <t>Pembangunan gedung Serba guna Ngepoh</t>
  </si>
  <si>
    <t>Pembangunan Lapangan bola volli Jambu</t>
  </si>
  <si>
    <t>Pembangunan Gedung serba guna Planjan</t>
  </si>
  <si>
    <t xml:space="preserve">Pembangunan dedung serba guna </t>
  </si>
  <si>
    <t>Ngalang2 sari</t>
  </si>
  <si>
    <t>Operasional Karang Taruna Ngepoh</t>
  </si>
  <si>
    <t>Karang Taruna</t>
  </si>
  <si>
    <t>Stimulan Karang taruna Ngepoh</t>
  </si>
  <si>
    <t>Pemberian Stimulan Karang Taruna klepu</t>
  </si>
  <si>
    <t>Operasional Karang taruna  Desa</t>
  </si>
  <si>
    <t>Dana Stimulan Karang taruna padukuhan</t>
  </si>
  <si>
    <t>Pemberian Stimulan Karang Taruna tritis</t>
  </si>
  <si>
    <t xml:space="preserve">Pemberian Stimulan Karang taruna </t>
  </si>
  <si>
    <t xml:space="preserve">Operasional Karang taruna </t>
  </si>
  <si>
    <t>Pelatihan/seleksi Atlet Tingkat Desa</t>
  </si>
  <si>
    <t>Pembinaan Keorganisasian karang taruna klepu</t>
  </si>
  <si>
    <t>Pelatiha Kepemudaan tingkat Desa</t>
  </si>
  <si>
    <t>Perbaikan Lapangan bola volli</t>
  </si>
  <si>
    <t>Pemberian Honor PKK Padukuhan</t>
  </si>
  <si>
    <t>Pengadaan Komputer operasional untuk PKK padukuhan</t>
  </si>
  <si>
    <t xml:space="preserve">Pengadaan sarana dan prasarana (meja kursi) PKK padukuhan </t>
  </si>
  <si>
    <t xml:space="preserve">Pengadaan Meja Kursi PKK </t>
  </si>
  <si>
    <t>Operasinonal PKK Desa</t>
  </si>
  <si>
    <t>Pembinaan PKK padukuhan</t>
  </si>
  <si>
    <t>Operasional LPMD/LPMP</t>
  </si>
  <si>
    <t>Pengadaan seragam PKK Padukuhan wuluh</t>
  </si>
  <si>
    <t>Pengadaan seragam PKK Padukuhan pakel</t>
  </si>
  <si>
    <t>Pengadaan seragam PKK Padukuhan</t>
  </si>
  <si>
    <t>Jumlah Bidang Pembinaan Kemasyarakatan</t>
  </si>
  <si>
    <t>Bidang Pemberdayaan Masyarakat</t>
  </si>
  <si>
    <t xml:space="preserve">Sub Bid. Pertanian dan Peternakan </t>
  </si>
  <si>
    <t>Pengadaan Alat perontok jagung</t>
  </si>
  <si>
    <t>Pengadaan Alat perontok Padi</t>
  </si>
  <si>
    <t>pdkhan</t>
  </si>
  <si>
    <t>pengadaan alat pertanian Traktor</t>
  </si>
  <si>
    <t>Pengadaan tangki semprot pertanian</t>
  </si>
  <si>
    <t>Pengadaan traktor</t>
  </si>
  <si>
    <t xml:space="preserve">Pengadaan traktor kecil </t>
  </si>
  <si>
    <t>Pengadaan alat penggiling kacang</t>
  </si>
  <si>
    <t>Pengadaan alat perontok jagung</t>
  </si>
  <si>
    <t>Pengadaan alat pengupas kacang</t>
  </si>
  <si>
    <t>tritis</t>
  </si>
  <si>
    <t>pengadaan alat pipil jagung</t>
  </si>
  <si>
    <t>Pengadaan alat pencacah pakan ternak</t>
  </si>
  <si>
    <t>Pengadaan alat semprot</t>
  </si>
  <si>
    <t xml:space="preserve">Pengadaan alat perontok jagung </t>
  </si>
  <si>
    <t>Pengadaan corn sheller</t>
  </si>
  <si>
    <t>Pengadaan hard traktor</t>
  </si>
  <si>
    <t>Pengadaan alat semprot/Tangki</t>
  </si>
  <si>
    <t>Tangki semprot pertanian</t>
  </si>
  <si>
    <t>Rehabilitasi Lumbung Desa</t>
  </si>
  <si>
    <t>Pembinaan kelompok tani gapoktan ngepoh</t>
  </si>
  <si>
    <t>gapoktan</t>
  </si>
  <si>
    <t>Pelatihan Pembuatan Pakan ternak alternatif</t>
  </si>
  <si>
    <t>klmpok</t>
  </si>
  <si>
    <t>Pelatihan pengelolaan hasil pertanian</t>
  </si>
  <si>
    <t>Pelatihan pertanian</t>
  </si>
  <si>
    <t>Pelatihan pembuatan pupuk organik</t>
  </si>
  <si>
    <t xml:space="preserve">Pembangunan KUD </t>
  </si>
  <si>
    <t>Pengadaan bibit unggul pertanian</t>
  </si>
  <si>
    <t>Pengadaan benih jagung,padi,kacang ,kedelai</t>
  </si>
  <si>
    <t>Pengadaan pupuk organik bersubsidi</t>
  </si>
  <si>
    <t>Pdkhan</t>
  </si>
  <si>
    <t>Pelatihan/pemberian bantuan terkait peralatan tepat guna peternakan</t>
  </si>
  <si>
    <t>Peningkatan Kapsitas Lurah, Pamong Kalurahan, dan Bamuskal (Study banding perangkat desa dan bankmuskal</t>
  </si>
  <si>
    <t>Kal.Planjan</t>
  </si>
  <si>
    <t>Pem.Kal dan BPKAL</t>
  </si>
  <si>
    <t>Sub Bidang Pemberdayaan Perempuan, erlindungan Anak dan Keluarga</t>
  </si>
  <si>
    <t>Penyuluhan tentang Pernikahan dini</t>
  </si>
  <si>
    <t>Klmpok</t>
  </si>
  <si>
    <t>Penyuluhan pemberdayaan perempuan</t>
  </si>
  <si>
    <t>Penyuluhan tentang pemberdayaan perempuan</t>
  </si>
  <si>
    <t>Sosialisasi pencegahan perdagangan manusia (human trafficking)</t>
  </si>
  <si>
    <t>Pelatihan dan Penguatan Penyandang Difable (Penyandang Disabilitas)</t>
  </si>
  <si>
    <t>Penguatan difable</t>
  </si>
  <si>
    <t>Pelatiihan penyandang difabel</t>
  </si>
  <si>
    <t>Sosialisasi pencegahan dan penanganan Kekerasan Dalam Rumah Tangga (KDRT) dan perlindungan anak</t>
  </si>
  <si>
    <t>Sosialisasi pencegahan KDRT</t>
  </si>
  <si>
    <t>Penyelenggaraan festival/pagelaran seni budaya untuk anak</t>
  </si>
  <si>
    <t>Penyelenggaraan festifal pergelaran seni anak</t>
  </si>
  <si>
    <t xml:space="preserve">Sub Bidang Dukungan Penanaman Modal </t>
  </si>
  <si>
    <t xml:space="preserve">Pelatihan Pengelolaan BumDesa </t>
  </si>
  <si>
    <t>BumDesa</t>
  </si>
  <si>
    <t>Penyertaan Modal Bumdesa</t>
  </si>
  <si>
    <t>Pembangunan Gedung BumDesa</t>
  </si>
  <si>
    <t>Pengadaan Teknologi Tepat Guna Untuk Pengembangan Ekonomi Pedesaan Non Pertanian</t>
  </si>
  <si>
    <t>Pengadaan alat penggiling kedelai untuk pengusaha tempe</t>
  </si>
  <si>
    <t>Pengadaan alat pembuatan Jamu</t>
  </si>
  <si>
    <t>Pengadaan alat untuk pengembangan usaha kecil</t>
  </si>
  <si>
    <t>Pengadaan Teknologi Tepat Guna (Kerajinan Tembaga)</t>
  </si>
  <si>
    <t>pengadaan sarana prasarana Tepat Guna Untuk kerajinan tembaga</t>
  </si>
  <si>
    <t>Pengadaan sarana prasarana pameran hasil usaha mikrro tingkat desa</t>
  </si>
  <si>
    <t>Pengadaan alat untuk kerajinan tembaga</t>
  </si>
  <si>
    <t>blimbing</t>
  </si>
  <si>
    <t>Pengadaan alat pembuatan tempe</t>
  </si>
  <si>
    <t>Pengadaan alat pembuatan emping</t>
  </si>
  <si>
    <t>Pengadaan Alat-Alat Pertukangan (Pasah,Gerinda,Pahat mesin dan plemer)</t>
  </si>
  <si>
    <t>Pengadaan Alat Untuk Kelompok Ekonomi Produktif</t>
  </si>
  <si>
    <t>Pembangunan/Rehab Pasar Desa/Kios Milik Desa</t>
  </si>
  <si>
    <t>Pembangunan Pasar /Kios Desa</t>
  </si>
  <si>
    <t>DDS/APBD I</t>
  </si>
  <si>
    <t>Pelatihan Manajemen Koperasi/KUD/UMKM</t>
  </si>
  <si>
    <t>Pembangunan/Rehabilitasi/Peningkatan Karamba/Kolam Perikanan Darat Milik Desa</t>
  </si>
  <si>
    <t>Pengadaan Terpal untuk pembuatan kolam ikan</t>
  </si>
  <si>
    <t>Pengadaan bibit ikan untuk telaga Omang (tritis)</t>
  </si>
  <si>
    <t>bibit</t>
  </si>
  <si>
    <t>Pengadaan bibit ikan untuk telaga Omang(Planjan)</t>
  </si>
  <si>
    <t>Jumlah Bidang Pemberdayaan Masyarakat</t>
  </si>
  <si>
    <t>Penanggulangan Bencana, Darurat dan Mendesak</t>
  </si>
  <si>
    <t>Dana Penanggulangan bencana</t>
  </si>
  <si>
    <t>b.</t>
  </si>
  <si>
    <t>Keadaan darurat</t>
  </si>
  <si>
    <t>Keadaan mendesak</t>
  </si>
  <si>
    <t>Jumlah Penanggulangan Bencana, Darurat dan Mendesak</t>
  </si>
  <si>
    <t>JUMLAH TOTAL</t>
  </si>
  <si>
    <t>Mengetahui,</t>
  </si>
  <si>
    <t>Lurah Planjan</t>
  </si>
  <si>
    <t>Planjan, 7 Maret 2022</t>
  </si>
  <si>
    <t>Disusun Oleh</t>
  </si>
  <si>
    <t>Tim Penyusun RPJM Kalurahan</t>
  </si>
  <si>
    <t>Keterangan</t>
  </si>
  <si>
    <t>BELANJA DESA</t>
  </si>
  <si>
    <t>1 Tahun</t>
  </si>
  <si>
    <t>ADD, SILPA ADD</t>
  </si>
  <si>
    <t>Penyusunan, Pendataan, dan Pemutahiran Profil Desa</t>
  </si>
  <si>
    <t>Pengembangan Sistem Infoemasi Desa</t>
  </si>
  <si>
    <t>DD</t>
  </si>
  <si>
    <t>ADD, BKK KAB</t>
  </si>
  <si>
    <t>Penyelenggaraan PAUD/TK/TPA/TKA/TPQ/Madrasah NonFormal Milik Desa (Bantuan Honor Pengajar, Pakaian Seragam, Operasional, dst)</t>
  </si>
  <si>
    <t>Pengelolaan Perpustakaan Milik Desa (Pengadaan Buku-buku Bacaan, Honor Penjaga untuk Perpustakaan/Taman BacaanDesa)</t>
  </si>
  <si>
    <t>Pembangunan/Rehabilitasi /Peningkatan/Pengerasan Jalan Desa</t>
  </si>
  <si>
    <t>DD, SILPA ADD</t>
  </si>
  <si>
    <t xml:space="preserve">Pembangunan/Rehabilitasi/Peningkatan/Pengerasan Jalan Lingkungan Permukiman/Gang </t>
  </si>
  <si>
    <t>Pembangunan/Rehabilitasi Prasarana Jalan Desa (gorong-gorong, selokan, Box/Slab Culvert, Drainase, Prasarana Jalan lain)</t>
  </si>
  <si>
    <t>BKK KABUPATEN</t>
  </si>
  <si>
    <t>Pembangunan/Rehabilitasi Monumen/Gapura/Batas Desa **)</t>
  </si>
  <si>
    <t>BKK DANAIS</t>
  </si>
  <si>
    <t>93</t>
  </si>
  <si>
    <t>Pelaksanaan upacara adat/tradisi daerah tingkat desa (Hari jadi Gunungkidul)</t>
  </si>
  <si>
    <t>BHP/R, PAD, ADD</t>
  </si>
  <si>
    <t>Planjan, 26 JULI 2021</t>
  </si>
  <si>
    <t>Prakiraan Pagu</t>
  </si>
  <si>
    <t>ADD,BHP/R, SILPA ADD, SILPA BHP/R</t>
  </si>
  <si>
    <t>DLL, DD</t>
  </si>
  <si>
    <t>DLL</t>
  </si>
  <si>
    <t>SILPA ADD</t>
  </si>
  <si>
    <t>DD,SILPA DD</t>
  </si>
  <si>
    <t>Planjan, 10 Agustsus 2020</t>
  </si>
  <si>
    <t>Lurah</t>
  </si>
  <si>
    <t>ADD, APBD</t>
  </si>
  <si>
    <t>RENCANA KERJA PEMERINTAH KALURAHAN</t>
  </si>
  <si>
    <t>TAHUN 2020</t>
  </si>
  <si>
    <t>TAHUN 2021</t>
  </si>
  <si>
    <t>DAFTAR RENCANA PROGRAM DAN KEGIATAN HASIL PENCERMATAN REVIEW RPJM KALURAHAN</t>
  </si>
  <si>
    <t>TAHUN ANGGARAN 2023</t>
  </si>
  <si>
    <t>Planjan,  3 Agustus 2022</t>
  </si>
  <si>
    <t>Tim Pencermatan RPJMKal</t>
  </si>
  <si>
    <t>PENYUSUN</t>
  </si>
  <si>
    <t>TAHUN 2022</t>
  </si>
  <si>
    <t>Pelatihan Pengelolaan BUM Desa (Pelatihan yg dilaksanakan oleh Pemdes)</t>
  </si>
  <si>
    <t>Sub Bidang Dukungan  Penanaman Modal</t>
  </si>
  <si>
    <t>Planjan, 13 Juli 2022</t>
  </si>
  <si>
    <t>FORMAT III.1  PROYEKSI PENDAPATAN DESA</t>
  </si>
  <si>
    <t>PROYEKSI PENDAPATAN ASLI DESA, PAGU INDIKATIF KELOMPOK TRANSFER,</t>
  </si>
  <si>
    <t xml:space="preserve">DAN PENDAPATAN LAIN- LAIN </t>
  </si>
  <si>
    <t>Indikatif Program/ Kegiatan Desa</t>
  </si>
  <si>
    <t>Jumlah Dana (Rp)</t>
  </si>
  <si>
    <t>KET</t>
  </si>
  <si>
    <t/>
  </si>
  <si>
    <t>PENDAPATAN</t>
  </si>
  <si>
    <t>Pendapatan Asli Desa</t>
  </si>
  <si>
    <t>Hasil Usaha</t>
  </si>
  <si>
    <t>01</t>
  </si>
  <si>
    <t>Bagi Hasil BUMDes</t>
  </si>
  <si>
    <t>90-99</t>
  </si>
  <si>
    <t>Lain-lain</t>
  </si>
  <si>
    <t>Hasil Aset</t>
  </si>
  <si>
    <t>Pengelolaan Tanah Kas Desa</t>
  </si>
  <si>
    <t>02</t>
  </si>
  <si>
    <t>Tambatan Perahu</t>
  </si>
  <si>
    <t>03</t>
  </si>
  <si>
    <t>Pasar Desa</t>
  </si>
  <si>
    <t>04</t>
  </si>
  <si>
    <t>Tempat Pemandian Umum</t>
  </si>
  <si>
    <t>05</t>
  </si>
  <si>
    <t>Jaringan Irigasi Desa</t>
  </si>
  <si>
    <t>06</t>
  </si>
  <si>
    <t>Pelelangan Ikan Milik Desa</t>
  </si>
  <si>
    <t>07</t>
  </si>
  <si>
    <t>Kios Milik Desa</t>
  </si>
  <si>
    <t>08</t>
  </si>
  <si>
    <t>Pemanfaatan Lapangan/Prasarana Olah raga Milik Desa</t>
  </si>
  <si>
    <t>Sewa Aula Balai Desa</t>
  </si>
  <si>
    <t>Sewa Meja kursi Desa</t>
  </si>
  <si>
    <t>Bagi Hasil pengelolaan Telaga Ngomang</t>
  </si>
  <si>
    <t>Swadaya, Partisipasi dan Gotong Royong</t>
  </si>
  <si>
    <t>Swadaya, partisipasi dan gotong royong</t>
  </si>
  <si>
    <t>Lain-lain Swadaya, Partisipasi dan Gotong Royong</t>
  </si>
  <si>
    <t>Lain-lain Pendapatan Asli Desa</t>
  </si>
  <si>
    <t>Hasil Pungutan Desa Program PTSL</t>
  </si>
  <si>
    <t>Transfer</t>
  </si>
  <si>
    <t>Dana Desa</t>
  </si>
  <si>
    <t>Bagian dari Hasil Pajak dan Retribusi Daerah Kabupaten/kota</t>
  </si>
  <si>
    <t>Alokasi Dana Desa</t>
  </si>
  <si>
    <t>Bantuan Keuangan Provinsi</t>
  </si>
  <si>
    <t>Bantuan Keuangan dari APBD Provinsi</t>
  </si>
  <si>
    <t>Lain-lain Bantuan Keuangan dari APBD Provinsi</t>
  </si>
  <si>
    <t>Bantuan Keuangan APBD Kabupaten/Kota</t>
  </si>
  <si>
    <t>Lain-lain Bantuan Keuangan dari APBD Kabupaten/Kota</t>
  </si>
  <si>
    <t>Pendapatan Lain-lain</t>
  </si>
  <si>
    <t xml:space="preserve">Penerimaan dari Hasil Kerjasama antar Desa </t>
  </si>
  <si>
    <t>Penerimaan dari Hasil Kerjasama Desa dengan Pihak Ketiga</t>
  </si>
  <si>
    <t>Penerimaan dari Bantuan Perusahaan yang berlokasi di Desa</t>
  </si>
  <si>
    <t>Hibah dan sumbangan dari Pihak Ketiga</t>
  </si>
  <si>
    <t>Koreksi kesalahan belanja tahun-tahun anggaran sebelumnya yang mengakibatkan penerimaan di kas Desa pada tahun anggaran berjalan</t>
  </si>
  <si>
    <t>Bunga Bank</t>
  </si>
  <si>
    <t>Lain-lain pendapatan Desa yang sah</t>
  </si>
  <si>
    <t>JUMLAH PENDAPATAN</t>
  </si>
  <si>
    <t>Ketua Tim Penyusun RKP Kalurahan</t>
  </si>
  <si>
    <t>TAHUN 2023</t>
  </si>
  <si>
    <t>Planjan, 3 Agustus 2022</t>
  </si>
  <si>
    <t xml:space="preserve">PROYEKSI BELANJA RKP </t>
  </si>
  <si>
    <t>: DIY</t>
  </si>
  <si>
    <t>Wajib</t>
  </si>
  <si>
    <t>JUMLAH BELANJA</t>
  </si>
  <si>
    <t>RANCANGAN  AKHIR  RENCANA KERJA PEMERINTAH KALURAHAN (RKP Kal)</t>
  </si>
  <si>
    <t>KALURAHAN PLANJAN KAPANEWON SAPTOSARI KABUPATEN GUNUNGKIDUL</t>
  </si>
  <si>
    <t>KODE  REKENING</t>
  </si>
  <si>
    <t>URAIAN</t>
  </si>
  <si>
    <t>ANGGARAN
Rp.</t>
  </si>
  <si>
    <t>SUMBER DANA</t>
  </si>
  <si>
    <t>TKD</t>
  </si>
  <si>
    <t>KIOS</t>
  </si>
  <si>
    <t>PAD PUNGUTAN</t>
  </si>
  <si>
    <t>PAD LAIN-LAIN</t>
  </si>
  <si>
    <t>BUNGA</t>
  </si>
  <si>
    <t>BHP/BHR</t>
  </si>
  <si>
    <t>BKK (KAB.DAN PROV)</t>
  </si>
  <si>
    <t>SILPA</t>
  </si>
  <si>
    <t>BELANJA</t>
  </si>
  <si>
    <t>Sub Bidang Penyelenggaraan Belanja Penghasilan Tetap, Tunjangan dan Operasional Pemerintahan Desa</t>
  </si>
  <si>
    <t>Penyediaan Operasional BPD (Rapat-rapat (ATK, makan-minum), perlengkapan perkantoran, Pakaian Seragam, perjalanan dinas, listrik/telpon, dll)</t>
  </si>
  <si>
    <t>99</t>
  </si>
  <si>
    <t>Lain-lain Sub Bidang Penyelenggaraan Belanja Penghasilan Tetap, Tunjangan dan Operasional Pemerintahan Desa</t>
  </si>
  <si>
    <t>Sub Bidang Sarana dan Prasarana Pemerintahan Desa</t>
  </si>
  <si>
    <t>Pemeliharaan Gedung/Prasarana kantor Desa</t>
  </si>
  <si>
    <t>Pengadaan Peralatan Kerja</t>
  </si>
  <si>
    <t>Pengadaan Mebeluer</t>
  </si>
  <si>
    <t>92</t>
  </si>
  <si>
    <t>94</t>
  </si>
  <si>
    <t>95</t>
  </si>
  <si>
    <t>lain-lain kegiatan sub bidang sarana dan prasarana pemerintahan Desa</t>
  </si>
  <si>
    <t>Sub Biidang Administrasi Kependudukan, Pencatatan Sipil, Statistik dan Kearsipan</t>
  </si>
  <si>
    <t>Penyusunan Monografi Desa</t>
  </si>
  <si>
    <t>91</t>
  </si>
  <si>
    <t>lain-lain kegiatan sub bidang administrasi kependudukan, pencatatan sipil, statistik dan kearsipan</t>
  </si>
  <si>
    <t>Sub Bidang Tata Praja Pemerintahan, Perencanaan, Keuangan dan Pelaporan</t>
  </si>
  <si>
    <t>Penyelenggaraan Musyawarah Perencanaan Desa/Pembahasan APBDesa (Musdes, Musrenbangdes/Pra-Musrenbangdes, dll., bersifat reguler)</t>
  </si>
  <si>
    <t>Penyusunan Dokumen Perencanaan Desa (RPJMDesa/RKPDesa,dll)</t>
  </si>
  <si>
    <t>Penyusunan Dokumen Keuangan Desa (APBDes/ APBDes Perubahan/ LPJ APBDes, dan seluruh dokumen terkait)</t>
  </si>
  <si>
    <t>Pengelolaan/Administrasi/Inventarisasi/Penilaian Aset Desa</t>
  </si>
  <si>
    <t>Penyusunan Kebijakan Desa (Perdes/Perkades, dll - diluar dokumen Rencana Pembangunan/Keuangan)</t>
  </si>
  <si>
    <t>lain-lain kegiatan sub bidang tata praja pemerintahan, perencanaan, keuangan dan pelaporan</t>
  </si>
  <si>
    <t>ADD, PAD</t>
  </si>
  <si>
    <t>lain-lain kegiatan sub bidang pertanahan</t>
  </si>
  <si>
    <t>lain-lain kegiatan sub bidang pendidikan*</t>
  </si>
  <si>
    <t>09</t>
  </si>
  <si>
    <t>98</t>
  </si>
  <si>
    <t>lain-lain kegiatan sub bidang kesehatan*</t>
  </si>
  <si>
    <t>DDS, SILPA</t>
  </si>
  <si>
    <t>10</t>
  </si>
  <si>
    <t>11</t>
  </si>
  <si>
    <t>14</t>
  </si>
  <si>
    <t>15</t>
  </si>
  <si>
    <t>Pembangunan/Rehabilitasi/Peningkatan Balai Desa/ Balai Kemsyarakatan</t>
  </si>
  <si>
    <t>lain-lain kegiatan sub bidang pekerjaan umum dan penataan ruang</t>
  </si>
  <si>
    <t>Sub Bidang Kawasan Permukiman</t>
  </si>
  <si>
    <t>Pemberian Stimulan Jamban Sehat</t>
  </si>
  <si>
    <t>Sub Biddang Perhubungan, Komunikasi, dan Informatika</t>
  </si>
  <si>
    <t>lain-lain kegiatan sub bidang Perhubungan, Komunikasi, dan Informatika*</t>
  </si>
  <si>
    <t>lain-lain kegiatan sub bidang pariwisata*</t>
  </si>
  <si>
    <t>BIDANG PEMBINAAN KEMASYARAKATAN DESA</t>
  </si>
  <si>
    <t>Sub Bidang Ketenteraman, Ketertiban Umum, dan Pelindungan Masyarakat</t>
  </si>
  <si>
    <t>Penguatan dan Peningkatan Kapasitas Tenaga Keamanan/Ketertiban oleh Pemerintah Desa (Satlinmas desa)</t>
  </si>
  <si>
    <t>Penyelenggaraan Festival Kesenian, Adat/Kebudayaan, dan Keagamaan (perayaan hari kemerdekaan, hari besar keagamaan, dll) tingkat Desa</t>
  </si>
  <si>
    <t>Pemeliharaan Sarana dan Prasarana Kebudayaan/Rumah Adat/Keagamaan Milik Desa</t>
  </si>
  <si>
    <t>092</t>
  </si>
  <si>
    <t>Pelaksanaan upacara adat/tradisi daerah tingkat desa (Hari Jadi Gunungkidul)</t>
  </si>
  <si>
    <t>lain-lain kegiatan sub bidang Kebudayaan dan Keagamaan*</t>
  </si>
  <si>
    <t>Sub Bidang Kepemudaan dan Olah Raga</t>
  </si>
  <si>
    <t>lain-lain kegiatan sub bidang Kepemudaan dan Olah Raga</t>
  </si>
  <si>
    <t>BUNGA BANK</t>
  </si>
  <si>
    <t>96</t>
  </si>
  <si>
    <t>lain-lain kegiatan sub bidang Kelembagaan Masyarakat*</t>
  </si>
  <si>
    <t>PEMBERDAYAAN MASYARAKAT DESA</t>
  </si>
  <si>
    <t>lain-lain kegiatan sub bidang pertanian dan peternakan</t>
  </si>
  <si>
    <t xml:space="preserve">Peningkatan kapasitas perangkat Desa </t>
  </si>
  <si>
    <t xml:space="preserve">Peningkatan kapasitas BPD </t>
  </si>
  <si>
    <t>Lain-lain Peningkatan kapasitas Aparatur Desa</t>
  </si>
  <si>
    <t>lain-lain kegiatan sub bidang Pemberdayaan Perempuan dan Perlindungan Anak*</t>
  </si>
  <si>
    <t xml:space="preserve">Pelatihan Pengelolaan BUM Desa </t>
  </si>
  <si>
    <t>lain-lain kegiatan sub bidang Penanaman Modal* (Penyertaan Modal Bumdes)</t>
  </si>
  <si>
    <t>Sub Bidang Perdagangan dan perindustrian</t>
  </si>
  <si>
    <t>lain-lain kegiatan sub bidang Perdagangan dan Perindustrian</t>
  </si>
  <si>
    <t>PENANGGULANGAN BENCANA, KEADAAN DARURAT DAN MENDESAK</t>
  </si>
  <si>
    <t>Penanggulangan Bencana</t>
  </si>
  <si>
    <t>Keadaan Darurat</t>
  </si>
  <si>
    <t>Mendesak</t>
  </si>
  <si>
    <t xml:space="preserve">JUMLAH  BELANJA </t>
  </si>
  <si>
    <t>SURPLUS /(DEFISIT)</t>
  </si>
  <si>
    <t xml:space="preserve">PEMBIAYAAN </t>
  </si>
  <si>
    <t>Penerimaan Pembiayaan</t>
  </si>
  <si>
    <t>SiLPA Tahun Sebelumnya</t>
  </si>
  <si>
    <t>Pencairan Dana Cadangan</t>
  </si>
  <si>
    <t>Hasil Penjualan Kekayaan Desa yang Dipisahkan</t>
  </si>
  <si>
    <t>Penerimaan Pembiayaan Lainnya</t>
  </si>
  <si>
    <t>Pengeluaran Pembiayaan</t>
  </si>
  <si>
    <t>Pembentukan Dana Cadangan</t>
  </si>
  <si>
    <t>Penyertaan Modal Desa</t>
  </si>
  <si>
    <t>Pengeluaran Pembiayaan Lainnya</t>
  </si>
  <si>
    <t>SISA LEBIH PEMBIAYAAN</t>
  </si>
  <si>
    <t>Planjan,  20 September 2021</t>
  </si>
  <si>
    <t>Ketua Tim Penyusun RKP</t>
  </si>
  <si>
    <t>MURYONO ASIH S</t>
  </si>
  <si>
    <t>Pengisian Perangkat Desa</t>
  </si>
  <si>
    <t>Pelepasan dan Pengadaan Pengganti Tanah Desa</t>
  </si>
  <si>
    <t>Pengadaan Seragam Linmas</t>
  </si>
  <si>
    <t>SILPA, PAD</t>
  </si>
  <si>
    <t>1 Paket</t>
  </si>
  <si>
    <t>14 Paket</t>
  </si>
  <si>
    <t>21 Paket</t>
  </si>
  <si>
    <t xml:space="preserve">lain-lain kegiatan sub bidang Penanaman Modal* </t>
  </si>
  <si>
    <t>1 Ls</t>
  </si>
  <si>
    <t>Lokasi</t>
  </si>
  <si>
    <t>Kal. Planjan</t>
  </si>
  <si>
    <t>Tim Penyusun</t>
  </si>
  <si>
    <t>: D.I.YOGYAKARTA</t>
  </si>
  <si>
    <t>RENCANA KERJA PEMERINTAH KALURAHAN (RKPKal)</t>
  </si>
  <si>
    <t>KALURAHAN : NGLORO</t>
  </si>
  <si>
    <t>KAPANEWON: SAPTOSARI</t>
  </si>
  <si>
    <t>proirias</t>
  </si>
  <si>
    <t>Ngloro, 15 Sep 2022</t>
  </si>
  <si>
    <t>DDS, dais</t>
  </si>
  <si>
    <t>Pemeliharaan Sambungan Air Bersih ke Rumah Tangga (Pipanisasi dll)</t>
  </si>
  <si>
    <t>Aris Susmanto</t>
  </si>
  <si>
    <t>DAFTAR  PROGRAM DAN KEGIATAN HASILPENCERMATAN REVIEW RPJM KALURAHAN</t>
  </si>
  <si>
    <t>DAFTAR RENCANA PROGRAM DAN KEGIATAN HASIL PENCERMATAN RPJM DESA</t>
  </si>
  <si>
    <t>Penyelenggaran Lomba antar Kewilayahan &amp; Pengiriman Kontingen dlm Lomdes</t>
  </si>
  <si>
    <t>Fasilitasi Sertifikasi Tanah untuk Masyarakat Miskin</t>
  </si>
  <si>
    <t>Kegiatan Mediasi Konflik Pertanahan</t>
  </si>
  <si>
    <t>Sertifikasi tanah milik desa</t>
  </si>
  <si>
    <t>Pengadaan tanah milik desa</t>
  </si>
  <si>
    <t>Penyuluhan dan Pelatihan Pendidikan Bagi Masyarakat</t>
  </si>
  <si>
    <t>Pemeliharaan Sarana Prasarana Perpustakaan/Taman Bacaan/Sanggar Belajar Milik Desa</t>
  </si>
  <si>
    <t>Pembangunan/Rehabilitasi/Peningkatan Sarana/Prasarana Perpustakaan/Taman  Bacaan Desa/ Sanggar Belajar Milik Desa</t>
  </si>
  <si>
    <t>Pengembangan dan Pembinaan Sanggar Seni dan Belajar</t>
  </si>
  <si>
    <t>Pemeliharaan  gedung PAUD/TK Milik Desa</t>
  </si>
  <si>
    <t>Pembinaan kelompok-kelompok belajar yang ada di desa</t>
  </si>
  <si>
    <t>Pendataan  warga  putus  sekolah dan buta huruf/aksara</t>
  </si>
  <si>
    <t>Pembinaan dan pengembangan Kampung KB</t>
  </si>
  <si>
    <t>Pemeliharaan Jalan Usaha Tani</t>
  </si>
  <si>
    <t>Pemeliharaan Prasarana Jalan Desa (Gorong-gorong/Selokan/Parit/Drainase dll)</t>
  </si>
  <si>
    <t>Pemeliharaan Gedung/Prasarana Balai Desa/Balai Kemasyarakatan</t>
  </si>
  <si>
    <t>Pembuatan/Pemutakhiran Peta Wilayah dan Sosial Desa **)</t>
  </si>
  <si>
    <t>Pembangunan/rehabilitasi bangunan penampung air komunal</t>
  </si>
  <si>
    <t>Pemeliharaan Fasilitas Jamban Umum/MCK Umum dll</t>
  </si>
  <si>
    <t>Penyediaan dan pengelolaan air bersih skala desa</t>
  </si>
  <si>
    <t>Pengelolaan sampah desa/permukiman</t>
  </si>
  <si>
    <t>Peningkatan peran serta masyarakat dalam pengelolaan sampah</t>
  </si>
  <si>
    <t>Penyediaan prasarana dan sarana pengelolaan sampah</t>
  </si>
  <si>
    <t>Pengelolaan Wana Desa</t>
  </si>
  <si>
    <t>Sub Bidang Energi dan Sumberdaya Mineral</t>
  </si>
  <si>
    <t>Pemeliharaan Sarana dan Prasarana Pariwisata Milik Desa</t>
  </si>
  <si>
    <t>Pembangunan/Rehabilitasi/Peningkatan Sarana dan Prasarana Pariwisata Milik **)</t>
  </si>
  <si>
    <t>Pembinaan dan Pengembangan Desa Wisata</t>
  </si>
  <si>
    <t>Peningkatan Kapasitas pengelola wisata milik desa</t>
  </si>
  <si>
    <t>Pelaksanaan penugasan penarikan retribusi obyek wisata dan tempat olah raga oleh pemerintah kabupaten</t>
  </si>
  <si>
    <t>Pemeliharaan Rest Area Milik Desa</t>
  </si>
  <si>
    <t>Pelatihan/Penyuluhan/Sosialisasi kepada Masy. di Bid. Hukum &amp;  Pelindungan Masy.</t>
  </si>
  <si>
    <t>Pembinaan dan pengembangan paralegal desa</t>
  </si>
  <si>
    <t>Pengiriman Kontingen Group Kesenian &amp; Kebudayaan (Wakil Desa tkt. Kec/Kab/Kot)</t>
  </si>
  <si>
    <t>Pemeliharaan Gedung Serbaguna/Pertemuan milik desa</t>
  </si>
  <si>
    <t>Pembinaan Lembaga Adat</t>
  </si>
  <si>
    <t>Pembinaan LKMD/LPM/LPMD</t>
  </si>
  <si>
    <t>Pelatihan Pembinaan Lembaga Kemasyarakatan</t>
  </si>
  <si>
    <t>Pembentukan lembaga kemasyarakatan desa</t>
  </si>
  <si>
    <t>Pembinaan Kader Pemberdayaan Masyarakat</t>
  </si>
  <si>
    <t>Sub Bidang Kelautan dan Perikanan</t>
  </si>
  <si>
    <t>Bimtek/Pelatihan/Pengenalan TTG untuk Perikanan Darat/Nelayan **)</t>
  </si>
  <si>
    <t>Pelatihan pengolahan hasil laut/perikanan</t>
  </si>
  <si>
    <t>Peningkatan Produksi Peternakan  (alat produksi/pengelolaan/kandang)</t>
  </si>
  <si>
    <t>Pembinaan dan pemberdayaan kelompok rentan</t>
  </si>
  <si>
    <t>Sub Bidang Koperasi, Usaha Micro Kecil dan Menengah (UMKM)</t>
  </si>
  <si>
    <t>Tim Pencermatan RPJMDes</t>
  </si>
  <si>
    <t>:NGLORO</t>
  </si>
  <si>
    <t>Operasional pemerintah desa yang bersumber dari Dana Desa</t>
  </si>
  <si>
    <t>Sumber dana</t>
  </si>
  <si>
    <t>ADD,DDL,PBH</t>
  </si>
  <si>
    <t>PBH</t>
  </si>
  <si>
    <t>BPH</t>
  </si>
  <si>
    <t>PBP</t>
  </si>
  <si>
    <t>Pemeliharaan Air Bersih Milik Desa (Mata Air, Penampung Air, Sumber bor dll)</t>
  </si>
  <si>
    <t>Pelatiham pengelolaan BUM Desa (Pelatihan yg dilaksanakan oleh Pemdes)</t>
  </si>
  <si>
    <t>Sub Bidang Perdagangan Dan Perindustrian</t>
  </si>
  <si>
    <t>Pengembangan industri kecil tingkat desa</t>
  </si>
  <si>
    <t>Ngloro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</si>
</sst>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7" formatCode="_-* #,##0.00_-;\-* #,##0.00_-;_-* &quot;-&quot;_-;_-@_-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sz val="12"/>
      <name val="Arial"/>
      <family val="2"/>
    </font>
    <font>
      <sz val="11"/>
      <color indexed="8"/>
      <name val="Helvetica Neue"/>
    </font>
    <font>
      <sz val="11"/>
      <name val="Bookman Old Style"/>
      <family val="1"/>
    </font>
    <font>
      <sz val="12"/>
      <color theme="1"/>
      <name val="Bookman Old Style"/>
      <family val="1"/>
    </font>
    <font>
      <b/>
      <sz val="10"/>
      <color indexed="8"/>
      <name val="Arial"/>
      <family val="2"/>
    </font>
    <font>
      <b/>
      <sz val="16"/>
      <color indexed="8"/>
      <name val="Bookman Old Style"/>
      <family val="1"/>
    </font>
    <font>
      <sz val="10"/>
      <color indexed="8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rgb="FFFF0000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name val="Arial"/>
      <family val="2"/>
    </font>
    <font>
      <sz val="14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4"/>
      <color rgb="FFFF0000"/>
      <name val="Arial"/>
      <family val="2"/>
    </font>
    <font>
      <sz val="14"/>
      <color indexed="8"/>
      <name val="Arial"/>
      <family val="2"/>
    </font>
    <font>
      <b/>
      <i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indexed="8"/>
      <name val="Arial"/>
      <family val="2"/>
    </font>
    <font>
      <sz val="14"/>
      <color theme="5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Bookman Old Style"/>
      <family val="1"/>
    </font>
    <font>
      <b/>
      <i/>
      <sz val="12"/>
      <name val="Bookman Old Style"/>
      <family val="1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i/>
      <sz val="12"/>
      <name val="Bookman Old Style"/>
      <family val="1"/>
    </font>
    <font>
      <b/>
      <sz val="20"/>
      <name val="Bookman Old Style"/>
      <family val="1"/>
    </font>
    <font>
      <b/>
      <sz val="14"/>
      <name val="Bookman Old Style"/>
      <family val="1"/>
    </font>
    <font>
      <i/>
      <sz val="14"/>
      <name val="Bookman Old Style"/>
      <family val="1"/>
    </font>
    <font>
      <sz val="14"/>
      <name val="Bookman Old Style"/>
      <family val="1"/>
    </font>
    <font>
      <b/>
      <i/>
      <sz val="14"/>
      <name val="Bookman Old Style"/>
      <family val="1"/>
    </font>
    <font>
      <b/>
      <sz val="11"/>
      <name val="Bookman Old Style"/>
      <family val="1"/>
    </font>
    <font>
      <i/>
      <sz val="13"/>
      <name val="Bookman Old Style"/>
      <family val="1"/>
    </font>
    <font>
      <sz val="14"/>
      <color rgb="FFFF0000"/>
      <name val="Bookman Old Style"/>
      <family val="1"/>
    </font>
    <font>
      <sz val="13"/>
      <name val="Bookman Old Style"/>
      <family val="1"/>
    </font>
    <font>
      <b/>
      <sz val="13"/>
      <name val="Bookman Old Style"/>
      <family val="1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6"/>
      <name val="Bookman Old Style"/>
      <family val="1"/>
    </font>
    <font>
      <i/>
      <sz val="16"/>
      <name val="Bookman Old Style"/>
      <family val="1"/>
    </font>
    <font>
      <b/>
      <sz val="16"/>
      <name val="Bookman Old Style"/>
      <family val="1"/>
    </font>
    <font>
      <b/>
      <i/>
      <sz val="16"/>
      <name val="Bookman Old Style"/>
      <family val="1"/>
    </font>
    <font>
      <b/>
      <sz val="10"/>
      <color indexed="8"/>
      <name val="Bookman Old Style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40">
    <xf numFmtId="0" fontId="0" fillId="0" borderId="0" xfId="0"/>
    <xf numFmtId="0" fontId="15" fillId="0" borderId="0" xfId="37" applyFont="1"/>
    <xf numFmtId="0" fontId="16" fillId="0" borderId="0" xfId="37" applyFont="1" applyAlignment="1">
      <alignment horizontal="left" vertical="center"/>
    </xf>
    <xf numFmtId="0" fontId="16" fillId="0" borderId="3" xfId="36" applyNumberFormat="1" applyFont="1" applyBorder="1" applyAlignment="1">
      <alignment horizontal="center" vertical="center"/>
    </xf>
    <xf numFmtId="164" fontId="16" fillId="0" borderId="3" xfId="38" applyFont="1" applyBorder="1" applyAlignment="1">
      <alignment horizontal="center" vertical="center" wrapText="1"/>
    </xf>
    <xf numFmtId="0" fontId="16" fillId="0" borderId="3" xfId="37" applyFont="1" applyBorder="1" applyAlignment="1">
      <alignment horizontal="center" vertical="center" wrapText="1"/>
    </xf>
    <xf numFmtId="0" fontId="16" fillId="0" borderId="3" xfId="37" applyFont="1" applyBorder="1" applyAlignment="1">
      <alignment horizontal="center" vertical="center"/>
    </xf>
    <xf numFmtId="0" fontId="16" fillId="0" borderId="0" xfId="37" applyFont="1" applyAlignment="1">
      <alignment vertical="center"/>
    </xf>
    <xf numFmtId="0" fontId="16" fillId="2" borderId="3" xfId="36" applyNumberFormat="1" applyFont="1" applyFill="1" applyBorder="1" applyAlignment="1" applyProtection="1">
      <alignment horizontal="center" vertical="center"/>
      <protection locked="0"/>
    </xf>
    <xf numFmtId="0" fontId="16" fillId="2" borderId="3" xfId="37" applyFont="1" applyFill="1" applyBorder="1" applyAlignment="1" applyProtection="1">
      <alignment horizontal="left" vertical="center"/>
      <protection locked="0"/>
    </xf>
    <xf numFmtId="0" fontId="15" fillId="2" borderId="3" xfId="37" applyFont="1" applyFill="1" applyBorder="1" applyAlignment="1">
      <alignment vertical="center"/>
    </xf>
    <xf numFmtId="164" fontId="15" fillId="2" borderId="3" xfId="38" applyFont="1" applyFill="1" applyBorder="1" applyAlignment="1">
      <alignment vertical="center"/>
    </xf>
    <xf numFmtId="0" fontId="15" fillId="0" borderId="0" xfId="37" applyFont="1" applyAlignment="1">
      <alignment vertical="center"/>
    </xf>
    <xf numFmtId="0" fontId="16" fillId="0" borderId="3" xfId="36" applyNumberFormat="1" applyFont="1" applyFill="1" applyBorder="1" applyAlignment="1" applyProtection="1">
      <alignment horizontal="center" vertical="top"/>
      <protection locked="0"/>
    </xf>
    <xf numFmtId="0" fontId="16" fillId="0" borderId="3" xfId="37" applyFont="1" applyFill="1" applyBorder="1" applyAlignment="1" applyProtection="1">
      <alignment horizontal="left" vertical="top"/>
      <protection locked="0"/>
    </xf>
    <xf numFmtId="0" fontId="15" fillId="0" borderId="3" xfId="37" applyFont="1" applyBorder="1"/>
    <xf numFmtId="164" fontId="15" fillId="0" borderId="3" xfId="38" applyFont="1" applyBorder="1"/>
    <xf numFmtId="0" fontId="15" fillId="0" borderId="3" xfId="36" applyNumberFormat="1" applyFont="1" applyFill="1" applyBorder="1" applyAlignment="1" applyProtection="1">
      <alignment horizontal="center" vertical="top"/>
      <protection locked="0"/>
    </xf>
    <xf numFmtId="0" fontId="15" fillId="0" borderId="3" xfId="37" applyFont="1" applyFill="1" applyBorder="1" applyAlignment="1" applyProtection="1">
      <alignment horizontal="left" vertical="top"/>
      <protection locked="0"/>
    </xf>
    <xf numFmtId="0" fontId="17" fillId="0" borderId="3" xfId="37" applyFont="1" applyBorder="1"/>
    <xf numFmtId="0" fontId="15" fillId="4" borderId="3" xfId="36" applyNumberFormat="1" applyFont="1" applyFill="1" applyBorder="1" applyAlignment="1" applyProtection="1">
      <alignment horizontal="center" vertical="top"/>
      <protection locked="0"/>
    </xf>
    <xf numFmtId="0" fontId="15" fillId="4" borderId="3" xfId="37" applyFont="1" applyFill="1" applyBorder="1" applyAlignment="1" applyProtection="1">
      <alignment horizontal="left" vertical="top"/>
      <protection locked="0"/>
    </xf>
    <xf numFmtId="0" fontId="15" fillId="4" borderId="3" xfId="37" applyFont="1" applyFill="1" applyBorder="1"/>
    <xf numFmtId="164" fontId="15" fillId="4" borderId="3" xfId="38" applyFont="1" applyFill="1" applyBorder="1"/>
    <xf numFmtId="0" fontId="15" fillId="4" borderId="0" xfId="37" applyFont="1" applyFill="1"/>
    <xf numFmtId="0" fontId="15" fillId="0" borderId="0" xfId="36" applyNumberFormat="1" applyFont="1" applyAlignment="1">
      <alignment horizontal="center"/>
    </xf>
    <xf numFmtId="164" fontId="15" fillId="0" borderId="0" xfId="38" applyFont="1"/>
    <xf numFmtId="41" fontId="2" fillId="0" borderId="0" xfId="2" applyNumberFormat="1" applyFont="1" applyAlignment="1">
      <alignment horizontal="left"/>
    </xf>
    <xf numFmtId="41" fontId="2" fillId="0" borderId="0" xfId="2" applyNumberFormat="1" applyFont="1" applyAlignment="1">
      <alignment horizontal="center"/>
    </xf>
    <xf numFmtId="0" fontId="3" fillId="0" borderId="0" xfId="2" applyFont="1" applyBorder="1" applyAlignment="1">
      <alignment vertical="center"/>
    </xf>
    <xf numFmtId="41" fontId="10" fillId="0" borderId="0" xfId="11" applyFont="1" applyBorder="1"/>
    <xf numFmtId="41" fontId="10" fillId="0" borderId="0" xfId="11" applyFont="1" applyBorder="1" applyAlignment="1">
      <alignment horizontal="center"/>
    </xf>
    <xf numFmtId="0" fontId="21" fillId="0" borderId="0" xfId="0" applyFont="1" applyBorder="1"/>
    <xf numFmtId="0" fontId="24" fillId="0" borderId="0" xfId="0" applyFont="1" applyBorder="1"/>
    <xf numFmtId="0" fontId="23" fillId="0" borderId="0" xfId="2" applyFont="1" applyBorder="1"/>
    <xf numFmtId="0" fontId="23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0" fontId="22" fillId="0" borderId="0" xfId="2" applyFont="1" applyBorder="1" applyAlignment="1">
      <alignment horizontal="left" vertical="center"/>
    </xf>
    <xf numFmtId="164" fontId="22" fillId="0" borderId="0" xfId="44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4" borderId="0" xfId="2" applyFont="1" applyFill="1" applyBorder="1" applyAlignment="1">
      <alignment horizontal="left" wrapText="1"/>
    </xf>
    <xf numFmtId="165" fontId="22" fillId="4" borderId="0" xfId="1" applyNumberFormat="1" applyFont="1" applyFill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Border="1"/>
    <xf numFmtId="0" fontId="23" fillId="0" borderId="0" xfId="2" applyFont="1" applyBorder="1" applyAlignment="1">
      <alignment horizontal="left"/>
    </xf>
    <xf numFmtId="165" fontId="25" fillId="4" borderId="0" xfId="1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/>
    </xf>
    <xf numFmtId="0" fontId="26" fillId="0" borderId="0" xfId="2" applyFont="1" applyBorder="1"/>
    <xf numFmtId="0" fontId="26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vertical="center"/>
    </xf>
    <xf numFmtId="0" fontId="26" fillId="0" borderId="0" xfId="2" applyFont="1" applyBorder="1" applyAlignment="1">
      <alignment horizontal="left" vertical="center"/>
    </xf>
    <xf numFmtId="164" fontId="26" fillId="0" borderId="0" xfId="44" applyFont="1" applyBorder="1" applyAlignment="1">
      <alignment horizontal="center" vertical="center"/>
    </xf>
    <xf numFmtId="0" fontId="26" fillId="4" borderId="0" xfId="2" applyFont="1" applyFill="1" applyBorder="1" applyAlignment="1">
      <alignment horizontal="left" wrapText="1"/>
    </xf>
    <xf numFmtId="165" fontId="26" fillId="4" borderId="0" xfId="1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21" fillId="0" borderId="0" xfId="0" applyFont="1"/>
    <xf numFmtId="0" fontId="27" fillId="0" borderId="3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165" fontId="27" fillId="4" borderId="3" xfId="1" applyNumberFormat="1" applyFont="1" applyFill="1" applyBorder="1" applyAlignment="1">
      <alignment horizontal="center" vertical="center" wrapText="1"/>
    </xf>
    <xf numFmtId="165" fontId="27" fillId="0" borderId="3" xfId="1" applyNumberFormat="1" applyFont="1" applyBorder="1" applyAlignment="1">
      <alignment horizontal="center" vertical="center" wrapText="1"/>
    </xf>
    <xf numFmtId="0" fontId="28" fillId="6" borderId="3" xfId="2" applyFont="1" applyFill="1" applyBorder="1" applyAlignment="1">
      <alignment horizontal="center" vertical="center"/>
    </xf>
    <xf numFmtId="0" fontId="28" fillId="6" borderId="3" xfId="2" applyFont="1" applyFill="1" applyBorder="1" applyAlignment="1">
      <alignment horizontal="left" vertical="center"/>
    </xf>
    <xf numFmtId="164" fontId="28" fillId="6" borderId="3" xfId="44" applyFont="1" applyFill="1" applyBorder="1" applyAlignment="1">
      <alignment horizontal="center" vertical="center"/>
    </xf>
    <xf numFmtId="0" fontId="28" fillId="6" borderId="3" xfId="2" applyFont="1" applyFill="1" applyBorder="1" applyAlignment="1">
      <alignment horizontal="left" vertical="center" wrapText="1"/>
    </xf>
    <xf numFmtId="165" fontId="28" fillId="6" borderId="3" xfId="1" applyNumberFormat="1" applyFont="1" applyFill="1" applyBorder="1" applyAlignment="1">
      <alignment horizontal="center" vertical="center"/>
    </xf>
    <xf numFmtId="0" fontId="28" fillId="6" borderId="3" xfId="2" applyFont="1" applyFill="1" applyBorder="1" applyAlignment="1">
      <alignment horizontal="center" vertical="center" wrapText="1"/>
    </xf>
    <xf numFmtId="0" fontId="21" fillId="6" borderId="0" xfId="0" applyFont="1" applyFill="1"/>
    <xf numFmtId="0" fontId="27" fillId="0" borderId="3" xfId="2" applyFont="1" applyBorder="1" applyAlignment="1">
      <alignment horizontal="center" vertical="top"/>
    </xf>
    <xf numFmtId="0" fontId="27" fillId="0" borderId="3" xfId="2" applyFont="1" applyBorder="1" applyAlignment="1">
      <alignment vertical="top" wrapText="1"/>
    </xf>
    <xf numFmtId="0" fontId="29" fillId="4" borderId="3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vertical="top" wrapText="1"/>
    </xf>
    <xf numFmtId="0" fontId="21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vertical="center" wrapText="1"/>
    </xf>
    <xf numFmtId="0" fontId="26" fillId="0" borderId="3" xfId="2" applyFont="1" applyBorder="1" applyAlignment="1">
      <alignment horizontal="left" vertical="center"/>
    </xf>
    <xf numFmtId="164" fontId="26" fillId="0" borderId="3" xfId="44" applyFont="1" applyBorder="1" applyAlignment="1">
      <alignment horizontal="center" vertical="center"/>
    </xf>
    <xf numFmtId="0" fontId="26" fillId="0" borderId="3" xfId="2" applyFont="1" applyBorder="1" applyAlignment="1">
      <alignment horizontal="left" vertical="top" wrapText="1"/>
    </xf>
    <xf numFmtId="165" fontId="26" fillId="4" borderId="3" xfId="1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horizontal="center" vertical="center"/>
    </xf>
    <xf numFmtId="165" fontId="26" fillId="0" borderId="3" xfId="1" applyNumberFormat="1" applyFont="1" applyBorder="1" applyAlignment="1">
      <alignment horizontal="center" vertical="center"/>
    </xf>
    <xf numFmtId="0" fontId="26" fillId="0" borderId="3" xfId="2" applyFont="1" applyBorder="1" applyAlignment="1">
      <alignment vertical="top"/>
    </xf>
    <xf numFmtId="0" fontId="30" fillId="0" borderId="3" xfId="2" applyFont="1" applyBorder="1" applyAlignment="1">
      <alignment vertical="top"/>
    </xf>
    <xf numFmtId="0" fontId="21" fillId="0" borderId="0" xfId="0" applyFont="1" applyAlignment="1">
      <alignment vertical="top"/>
    </xf>
    <xf numFmtId="0" fontId="26" fillId="0" borderId="3" xfId="2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164" fontId="21" fillId="0" borderId="3" xfId="44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1" fillId="0" borderId="3" xfId="2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4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/>
    </xf>
    <xf numFmtId="164" fontId="21" fillId="4" borderId="3" xfId="44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27" fillId="0" borderId="3" xfId="2" applyFont="1" applyBorder="1" applyAlignment="1">
      <alignment vertical="center" wrapText="1"/>
    </xf>
    <xf numFmtId="0" fontId="29" fillId="4" borderId="3" xfId="0" applyFont="1" applyFill="1" applyBorder="1" applyAlignment="1">
      <alignment horizontal="left" vertical="center"/>
    </xf>
    <xf numFmtId="164" fontId="29" fillId="4" borderId="3" xfId="44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32" fillId="0" borderId="3" xfId="2" applyFont="1" applyBorder="1" applyAlignment="1">
      <alignment horizontal="left" vertical="center" wrapText="1"/>
    </xf>
    <xf numFmtId="165" fontId="27" fillId="4" borderId="3" xfId="1" applyNumberFormat="1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 wrapText="1"/>
    </xf>
    <xf numFmtId="0" fontId="27" fillId="0" borderId="3" xfId="2" applyFont="1" applyBorder="1"/>
    <xf numFmtId="0" fontId="33" fillId="0" borderId="3" xfId="2" applyFont="1" applyBorder="1"/>
    <xf numFmtId="0" fontId="29" fillId="0" borderId="0" xfId="0" applyFont="1"/>
    <xf numFmtId="0" fontId="26" fillId="0" borderId="3" xfId="2" applyFont="1" applyBorder="1" applyAlignment="1">
      <alignment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 wrapText="1"/>
    </xf>
    <xf numFmtId="0" fontId="34" fillId="0" borderId="0" xfId="45" applyFont="1" applyFill="1" applyAlignment="1" applyProtection="1">
      <alignment horizontal="left" vertical="center" wrapText="1"/>
      <protection locked="0"/>
    </xf>
    <xf numFmtId="0" fontId="30" fillId="0" borderId="3" xfId="2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26" fillId="0" borderId="3" xfId="2" applyFont="1" applyBorder="1" applyAlignment="1">
      <alignment vertical="center"/>
    </xf>
    <xf numFmtId="0" fontId="34" fillId="0" borderId="3" xfId="45" applyFont="1" applyFill="1" applyBorder="1" applyAlignment="1" applyProtection="1">
      <alignment horizontal="left" vertical="center" wrapText="1"/>
      <protection locked="0"/>
    </xf>
    <xf numFmtId="0" fontId="26" fillId="0" borderId="3" xfId="2" applyFont="1" applyBorder="1" applyAlignment="1">
      <alignment horizontal="left" vertical="center" wrapText="1"/>
    </xf>
    <xf numFmtId="0" fontId="26" fillId="4" borderId="3" xfId="0" applyFont="1" applyFill="1" applyBorder="1" applyAlignment="1">
      <alignment vertical="center" wrapText="1"/>
    </xf>
    <xf numFmtId="164" fontId="26" fillId="4" borderId="3" xfId="44" applyFont="1" applyFill="1" applyBorder="1" applyAlignment="1">
      <alignment horizontal="center" vertical="center"/>
    </xf>
    <xf numFmtId="0" fontId="27" fillId="0" borderId="3" xfId="2" applyFont="1" applyBorder="1" applyAlignment="1">
      <alignment horizontal="left" vertical="center" wrapText="1"/>
    </xf>
    <xf numFmtId="165" fontId="27" fillId="3" borderId="3" xfId="1" applyNumberFormat="1" applyFont="1" applyFill="1" applyBorder="1" applyAlignment="1">
      <alignment horizontal="center" vertical="center"/>
    </xf>
    <xf numFmtId="0" fontId="26" fillId="3" borderId="3" xfId="2" applyFont="1" applyFill="1" applyBorder="1" applyAlignment="1">
      <alignment horizontal="center" vertical="center" wrapText="1"/>
    </xf>
    <xf numFmtId="0" fontId="26" fillId="3" borderId="3" xfId="2" applyFont="1" applyFill="1" applyBorder="1"/>
    <xf numFmtId="0" fontId="30" fillId="3" borderId="3" xfId="2" applyFont="1" applyFill="1" applyBorder="1"/>
    <xf numFmtId="0" fontId="21" fillId="3" borderId="0" xfId="0" applyFont="1" applyFill="1"/>
    <xf numFmtId="0" fontId="35" fillId="4" borderId="3" xfId="0" applyFont="1" applyFill="1" applyBorder="1" applyAlignment="1">
      <alignment vertical="center" wrapText="1"/>
    </xf>
    <xf numFmtId="0" fontId="26" fillId="0" borderId="3" xfId="2" applyFont="1" applyBorder="1"/>
    <xf numFmtId="0" fontId="30" fillId="0" borderId="3" xfId="2" applyFont="1" applyBorder="1"/>
    <xf numFmtId="0" fontId="36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 wrapText="1"/>
    </xf>
    <xf numFmtId="0" fontId="37" fillId="0" borderId="3" xfId="45" applyFont="1" applyFill="1" applyBorder="1" applyAlignment="1" applyProtection="1">
      <alignment horizontal="left" vertical="center" wrapText="1"/>
      <protection locked="0"/>
    </xf>
    <xf numFmtId="0" fontId="37" fillId="0" borderId="3" xfId="45" applyFont="1" applyFill="1" applyBorder="1" applyAlignment="1" applyProtection="1">
      <alignment vertical="center" wrapText="1"/>
      <protection locked="0"/>
    </xf>
    <xf numFmtId="164" fontId="34" fillId="0" borderId="3" xfId="44" applyFont="1" applyFill="1" applyBorder="1" applyAlignment="1" applyProtection="1">
      <alignment horizontal="center" vertical="center" wrapText="1"/>
      <protection locked="0"/>
    </xf>
    <xf numFmtId="0" fontId="34" fillId="0" borderId="3" xfId="45" applyFont="1" applyFill="1" applyBorder="1" applyAlignment="1" applyProtection="1">
      <alignment horizontal="center" vertical="center" wrapText="1"/>
      <protection locked="0"/>
    </xf>
    <xf numFmtId="164" fontId="37" fillId="0" borderId="3" xfId="44" applyFont="1" applyFill="1" applyBorder="1" applyAlignment="1" applyProtection="1">
      <alignment horizontal="center" vertical="center" wrapText="1"/>
      <protection locked="0"/>
    </xf>
    <xf numFmtId="0" fontId="37" fillId="0" borderId="3" xfId="45" applyFont="1" applyFill="1" applyBorder="1" applyAlignment="1" applyProtection="1">
      <alignment horizontal="center" vertical="center" wrapText="1"/>
      <protection locked="0"/>
    </xf>
    <xf numFmtId="0" fontId="34" fillId="0" borderId="3" xfId="45" applyFont="1" applyFill="1" applyBorder="1" applyAlignment="1" applyProtection="1">
      <alignment vertical="center" wrapText="1"/>
      <protection locked="0"/>
    </xf>
    <xf numFmtId="164" fontId="21" fillId="0" borderId="3" xfId="44" applyFont="1" applyFill="1" applyBorder="1" applyAlignment="1" applyProtection="1">
      <alignment horizontal="center" vertical="center" wrapText="1"/>
      <protection locked="0"/>
    </xf>
    <xf numFmtId="0" fontId="37" fillId="0" borderId="3" xfId="45" applyFont="1" applyFill="1" applyBorder="1" applyAlignment="1" applyProtection="1">
      <alignment horizontal="left" vertical="center"/>
      <protection locked="0"/>
    </xf>
    <xf numFmtId="0" fontId="34" fillId="0" borderId="3" xfId="45" applyFont="1" applyFill="1" applyBorder="1" applyAlignment="1" applyProtection="1">
      <alignment horizontal="left" vertical="center"/>
      <protection locked="0"/>
    </xf>
    <xf numFmtId="0" fontId="27" fillId="4" borderId="3" xfId="0" applyFont="1" applyFill="1" applyBorder="1" applyAlignment="1">
      <alignment vertical="top" wrapText="1"/>
    </xf>
    <xf numFmtId="0" fontId="26" fillId="0" borderId="3" xfId="2" applyFont="1" applyBorder="1" applyAlignment="1">
      <alignment horizontal="right" vertical="center"/>
    </xf>
    <xf numFmtId="165" fontId="21" fillId="0" borderId="3" xfId="1" applyNumberFormat="1" applyFont="1" applyBorder="1" applyAlignment="1">
      <alignment horizontal="center" vertical="center"/>
    </xf>
    <xf numFmtId="164" fontId="26" fillId="0" borderId="3" xfId="44" applyFont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left" vertical="center"/>
    </xf>
    <xf numFmtId="164" fontId="38" fillId="4" borderId="3" xfId="44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6" fillId="4" borderId="3" xfId="2" applyFont="1" applyFill="1" applyBorder="1" applyAlignment="1">
      <alignment horizontal="center" vertical="center"/>
    </xf>
    <xf numFmtId="0" fontId="26" fillId="4" borderId="3" xfId="2" applyFont="1" applyFill="1" applyBorder="1" applyAlignment="1">
      <alignment vertical="center" wrapText="1"/>
    </xf>
    <xf numFmtId="0" fontId="26" fillId="4" borderId="3" xfId="2" applyFont="1" applyFill="1" applyBorder="1" applyAlignment="1">
      <alignment horizontal="center" vertical="center" wrapText="1"/>
    </xf>
    <xf numFmtId="0" fontId="26" fillId="4" borderId="3" xfId="2" applyFont="1" applyFill="1" applyBorder="1" applyAlignment="1">
      <alignment horizontal="left" vertical="center" wrapText="1"/>
    </xf>
    <xf numFmtId="0" fontId="30" fillId="4" borderId="3" xfId="2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165" fontId="30" fillId="4" borderId="3" xfId="1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left" vertical="top" wrapText="1"/>
    </xf>
    <xf numFmtId="0" fontId="26" fillId="4" borderId="3" xfId="2" applyFont="1" applyFill="1" applyBorder="1"/>
    <xf numFmtId="0" fontId="21" fillId="4" borderId="3" xfId="0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6" fillId="3" borderId="3" xfId="2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left" vertical="center"/>
    </xf>
    <xf numFmtId="164" fontId="27" fillId="3" borderId="3" xfId="44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left" vertical="center" wrapText="1"/>
    </xf>
    <xf numFmtId="0" fontId="27" fillId="4" borderId="3" xfId="2" applyFont="1" applyFill="1" applyBorder="1" applyAlignment="1">
      <alignment horizontal="center" vertical="center" wrapText="1"/>
    </xf>
    <xf numFmtId="165" fontId="21" fillId="4" borderId="3" xfId="1" applyNumberFormat="1" applyFont="1" applyFill="1" applyBorder="1" applyAlignment="1">
      <alignment horizontal="center" vertical="center"/>
    </xf>
    <xf numFmtId="165" fontId="33" fillId="4" borderId="3" xfId="1" applyNumberFormat="1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 wrapText="1"/>
    </xf>
    <xf numFmtId="165" fontId="26" fillId="3" borderId="3" xfId="1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wrapText="1"/>
    </xf>
    <xf numFmtId="0" fontId="35" fillId="4" borderId="3" xfId="0" applyFont="1" applyFill="1" applyBorder="1" applyAlignment="1">
      <alignment horizontal="center" vertical="center" wrapText="1"/>
    </xf>
    <xf numFmtId="164" fontId="27" fillId="0" borderId="3" xfId="44" applyFont="1" applyBorder="1" applyAlignment="1">
      <alignment horizontal="center" vertical="center" wrapText="1"/>
    </xf>
    <xf numFmtId="165" fontId="27" fillId="0" borderId="3" xfId="1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left" vertical="top" wrapText="1"/>
    </xf>
    <xf numFmtId="0" fontId="27" fillId="4" borderId="3" xfId="2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>
      <alignment vertical="center"/>
    </xf>
    <xf numFmtId="0" fontId="27" fillId="5" borderId="3" xfId="2" applyFont="1" applyFill="1" applyBorder="1" applyAlignment="1">
      <alignment horizontal="center" vertical="center"/>
    </xf>
    <xf numFmtId="0" fontId="26" fillId="5" borderId="3" xfId="2" applyFont="1" applyFill="1" applyBorder="1" applyAlignment="1">
      <alignment horizontal="center" vertical="center"/>
    </xf>
    <xf numFmtId="0" fontId="27" fillId="5" borderId="3" xfId="2" applyFont="1" applyFill="1" applyBorder="1" applyAlignment="1">
      <alignment horizontal="left" vertical="center"/>
    </xf>
    <xf numFmtId="164" fontId="27" fillId="5" borderId="3" xfId="44" applyFont="1" applyFill="1" applyBorder="1" applyAlignment="1">
      <alignment horizontal="center" vertical="center"/>
    </xf>
    <xf numFmtId="0" fontId="27" fillId="5" borderId="3" xfId="2" applyFont="1" applyFill="1" applyBorder="1" applyAlignment="1">
      <alignment horizontal="left" vertical="center" wrapText="1"/>
    </xf>
    <xf numFmtId="165" fontId="27" fillId="5" borderId="3" xfId="1" applyNumberFormat="1" applyFont="1" applyFill="1" applyBorder="1" applyAlignment="1">
      <alignment horizontal="center" vertical="center"/>
    </xf>
    <xf numFmtId="0" fontId="26" fillId="5" borderId="3" xfId="2" applyFont="1" applyFill="1" applyBorder="1" applyAlignment="1">
      <alignment horizontal="center" vertical="center" wrapText="1"/>
    </xf>
    <xf numFmtId="0" fontId="26" fillId="5" borderId="3" xfId="2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43" fontId="26" fillId="4" borderId="0" xfId="1" applyNumberFormat="1" applyFont="1" applyFill="1" applyBorder="1" applyAlignment="1">
      <alignment horizontal="center" vertical="center"/>
    </xf>
    <xf numFmtId="165" fontId="26" fillId="0" borderId="0" xfId="1" applyNumberFormat="1" applyFont="1" applyBorder="1" applyAlignment="1">
      <alignment horizontal="center" vertical="center"/>
    </xf>
    <xf numFmtId="0" fontId="27" fillId="0" borderId="0" xfId="2" applyFont="1" applyBorder="1"/>
    <xf numFmtId="0" fontId="27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/>
    </xf>
    <xf numFmtId="0" fontId="27" fillId="0" borderId="0" xfId="2" applyFont="1" applyBorder="1" applyAlignment="1">
      <alignment vertical="center"/>
    </xf>
    <xf numFmtId="41" fontId="27" fillId="4" borderId="0" xfId="2" applyNumberFormat="1" applyFont="1" applyFill="1" applyBorder="1" applyAlignment="1">
      <alignment horizontal="left" wrapText="1"/>
    </xf>
    <xf numFmtId="165" fontId="27" fillId="4" borderId="0" xfId="1" applyNumberFormat="1" applyFont="1" applyFill="1" applyBorder="1" applyAlignment="1">
      <alignment horizontal="center" vertical="center"/>
    </xf>
    <xf numFmtId="0" fontId="29" fillId="0" borderId="0" xfId="0" applyFont="1" applyBorder="1"/>
    <xf numFmtId="0" fontId="27" fillId="0" borderId="12" xfId="2" applyFont="1" applyBorder="1" applyAlignment="1">
      <alignment horizontal="center"/>
    </xf>
    <xf numFmtId="0" fontId="21" fillId="0" borderId="12" xfId="0" applyFont="1" applyBorder="1"/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left" vertical="center"/>
    </xf>
    <xf numFmtId="164" fontId="21" fillId="0" borderId="12" xfId="44" applyFont="1" applyBorder="1" applyAlignment="1">
      <alignment horizontal="center" vertical="center"/>
    </xf>
    <xf numFmtId="0" fontId="21" fillId="4" borderId="12" xfId="0" applyFont="1" applyFill="1" applyBorder="1" applyAlignment="1">
      <alignment horizontal="left" wrapText="1"/>
    </xf>
    <xf numFmtId="165" fontId="21" fillId="4" borderId="12" xfId="1" applyNumberFormat="1" applyFont="1" applyFill="1" applyBorder="1" applyAlignment="1">
      <alignment horizontal="center" vertical="center"/>
    </xf>
    <xf numFmtId="165" fontId="21" fillId="0" borderId="12" xfId="1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21" fillId="0" borderId="3" xfId="0" applyFont="1" applyBorder="1" applyAlignment="1">
      <alignment horizontal="left" wrapText="1"/>
    </xf>
    <xf numFmtId="0" fontId="26" fillId="0" borderId="3" xfId="0" applyFont="1" applyBorder="1"/>
    <xf numFmtId="0" fontId="11" fillId="0" borderId="0" xfId="21" applyFont="1" applyAlignment="1">
      <alignment vertical="center"/>
    </xf>
    <xf numFmtId="165" fontId="11" fillId="0" borderId="0" xfId="19" applyNumberFormat="1" applyFont="1" applyAlignment="1">
      <alignment horizontal="center" vertical="center"/>
    </xf>
    <xf numFmtId="0" fontId="11" fillId="0" borderId="0" xfId="21" applyFont="1" applyAlignment="1">
      <alignment horizontal="center" vertical="center"/>
    </xf>
    <xf numFmtId="0" fontId="40" fillId="0" borderId="0" xfId="21" applyFont="1" applyAlignment="1">
      <alignment vertical="center"/>
    </xf>
    <xf numFmtId="165" fontId="40" fillId="0" borderId="0" xfId="19" applyNumberFormat="1" applyFont="1" applyAlignment="1">
      <alignment horizontal="center" vertical="center"/>
    </xf>
    <xf numFmtId="0" fontId="40" fillId="0" borderId="0" xfId="21" applyFont="1" applyAlignment="1">
      <alignment horizontal="left" vertical="center"/>
    </xf>
    <xf numFmtId="0" fontId="40" fillId="0" borderId="0" xfId="2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NumberFormat="1" applyFont="1" applyAlignment="1">
      <alignment horizontal="left" vertical="center"/>
    </xf>
    <xf numFmtId="165" fontId="2" fillId="0" borderId="0" xfId="19" applyNumberFormat="1" applyFont="1" applyAlignment="1">
      <alignment horizontal="center" vertical="center"/>
    </xf>
    <xf numFmtId="41" fontId="2" fillId="0" borderId="0" xfId="2" applyNumberFormat="1" applyFont="1" applyAlignment="1">
      <alignment horizontal="left" vertical="center"/>
    </xf>
    <xf numFmtId="41" fontId="2" fillId="0" borderId="0" xfId="2" applyNumberFormat="1" applyFont="1" applyAlignment="1">
      <alignment horizontal="center" vertical="center"/>
    </xf>
    <xf numFmtId="165" fontId="10" fillId="0" borderId="0" xfId="19" applyNumberFormat="1" applyFont="1" applyBorder="1" applyAlignment="1">
      <alignment horizontal="center"/>
    </xf>
    <xf numFmtId="0" fontId="6" fillId="0" borderId="0" xfId="21"/>
    <xf numFmtId="0" fontId="11" fillId="0" borderId="0" xfId="21" applyFont="1"/>
    <xf numFmtId="0" fontId="41" fillId="2" borderId="3" xfId="21" applyFont="1" applyFill="1" applyBorder="1" applyAlignment="1">
      <alignment horizontal="center" vertical="center" wrapText="1"/>
    </xf>
    <xf numFmtId="0" fontId="41" fillId="2" borderId="3" xfId="19" applyNumberFormat="1" applyFont="1" applyFill="1" applyBorder="1" applyAlignment="1">
      <alignment horizontal="center" vertical="center" wrapText="1"/>
    </xf>
    <xf numFmtId="0" fontId="2" fillId="3" borderId="3" xfId="21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vertical="center"/>
    </xf>
    <xf numFmtId="165" fontId="2" fillId="3" borderId="3" xfId="19" applyNumberFormat="1" applyFont="1" applyFill="1" applyBorder="1" applyAlignment="1">
      <alignment horizontal="center" vertical="center"/>
    </xf>
    <xf numFmtId="165" fontId="2" fillId="3" borderId="3" xfId="19" applyNumberFormat="1" applyFont="1" applyFill="1" applyBorder="1" applyAlignment="1">
      <alignment vertical="center"/>
    </xf>
    <xf numFmtId="0" fontId="2" fillId="2" borderId="3" xfId="21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vertical="center" wrapText="1"/>
    </xf>
    <xf numFmtId="165" fontId="2" fillId="2" borderId="3" xfId="19" applyNumberFormat="1" applyFont="1" applyFill="1" applyBorder="1" applyAlignment="1">
      <alignment horizontal="center" vertical="center" wrapText="1"/>
    </xf>
    <xf numFmtId="165" fontId="2" fillId="2" borderId="3" xfId="19" applyNumberFormat="1" applyFont="1" applyFill="1" applyBorder="1" applyAlignment="1">
      <alignment vertical="center" wrapText="1"/>
    </xf>
    <xf numFmtId="0" fontId="2" fillId="5" borderId="3" xfId="21" applyFont="1" applyFill="1" applyBorder="1" applyAlignment="1">
      <alignment horizontal="center" vertical="center" wrapText="1"/>
    </xf>
    <xf numFmtId="0" fontId="2" fillId="5" borderId="3" xfId="3" applyFont="1" applyFill="1" applyBorder="1" applyAlignment="1">
      <alignment vertical="center" wrapText="1"/>
    </xf>
    <xf numFmtId="165" fontId="2" fillId="5" borderId="3" xfId="19" applyNumberFormat="1" applyFont="1" applyFill="1" applyBorder="1" applyAlignment="1">
      <alignment horizontal="center" vertical="center"/>
    </xf>
    <xf numFmtId="165" fontId="2" fillId="5" borderId="3" xfId="19" applyNumberFormat="1" applyFont="1" applyFill="1" applyBorder="1" applyAlignment="1">
      <alignment vertical="center"/>
    </xf>
    <xf numFmtId="0" fontId="2" fillId="4" borderId="3" xfId="21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left" vertical="center" wrapText="1"/>
    </xf>
    <xf numFmtId="41" fontId="3" fillId="4" borderId="3" xfId="4" applyFont="1" applyFill="1" applyBorder="1" applyAlignment="1">
      <alignment horizontal="center" vertical="center" wrapText="1"/>
    </xf>
    <xf numFmtId="41" fontId="3" fillId="4" borderId="3" xfId="4" applyFont="1" applyFill="1" applyBorder="1" applyAlignment="1">
      <alignment vertical="center" wrapText="1"/>
    </xf>
    <xf numFmtId="0" fontId="11" fillId="4" borderId="0" xfId="21" applyFont="1" applyFill="1"/>
    <xf numFmtId="0" fontId="3" fillId="4" borderId="3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 wrapText="1"/>
    </xf>
    <xf numFmtId="41" fontId="3" fillId="4" borderId="3" xfId="11" applyFont="1" applyFill="1" applyBorder="1" applyAlignment="1">
      <alignment horizontal="center" vertical="center"/>
    </xf>
    <xf numFmtId="41" fontId="3" fillId="4" borderId="3" xfId="11" applyFont="1" applyFill="1" applyBorder="1" applyAlignment="1">
      <alignment vertical="center"/>
    </xf>
    <xf numFmtId="41" fontId="3" fillId="4" borderId="3" xfId="11" applyFont="1" applyFill="1" applyBorder="1" applyAlignment="1">
      <alignment horizontal="center" vertical="center" wrapText="1"/>
    </xf>
    <xf numFmtId="41" fontId="3" fillId="4" borderId="3" xfId="5" applyNumberFormat="1" applyFont="1" applyFill="1" applyBorder="1" applyAlignment="1">
      <alignment horizontal="center" vertical="center"/>
    </xf>
    <xf numFmtId="0" fontId="2" fillId="5" borderId="3" xfId="3" applyFont="1" applyFill="1" applyBorder="1" applyAlignment="1">
      <alignment vertical="center"/>
    </xf>
    <xf numFmtId="0" fontId="2" fillId="4" borderId="3" xfId="21" applyFont="1" applyFill="1" applyBorder="1" applyAlignment="1">
      <alignment horizontal="center" vertical="center"/>
    </xf>
    <xf numFmtId="0" fontId="3" fillId="4" borderId="3" xfId="21" applyFont="1" applyFill="1" applyBorder="1" applyAlignment="1">
      <alignment horizontal="center" vertical="center"/>
    </xf>
    <xf numFmtId="41" fontId="3" fillId="4" borderId="3" xfId="5" applyNumberFormat="1" applyFont="1" applyFill="1" applyBorder="1" applyAlignment="1">
      <alignment vertical="center"/>
    </xf>
    <xf numFmtId="0" fontId="2" fillId="5" borderId="3" xfId="21" applyFont="1" applyFill="1" applyBorder="1" applyAlignment="1">
      <alignment horizontal="center" vertical="center"/>
    </xf>
    <xf numFmtId="0" fontId="2" fillId="5" borderId="3" xfId="21" applyFont="1" applyFill="1" applyBorder="1" applyAlignment="1">
      <alignment horizontal="left" wrapText="1"/>
    </xf>
    <xf numFmtId="0" fontId="3" fillId="4" borderId="3" xfId="21" applyFont="1" applyFill="1" applyBorder="1" applyAlignment="1">
      <alignment vertical="center"/>
    </xf>
    <xf numFmtId="0" fontId="3" fillId="4" borderId="3" xfId="21" applyFont="1" applyFill="1" applyBorder="1" applyAlignment="1">
      <alignment horizontal="center" vertical="center" wrapText="1"/>
    </xf>
    <xf numFmtId="0" fontId="16" fillId="5" borderId="3" xfId="21" applyFont="1" applyFill="1" applyBorder="1" applyAlignment="1" applyProtection="1">
      <alignment horizontal="left" vertical="top" wrapText="1"/>
      <protection locked="0"/>
    </xf>
    <xf numFmtId="0" fontId="3" fillId="4" borderId="3" xfId="21" applyFont="1" applyFill="1" applyBorder="1" applyAlignment="1">
      <alignment horizontal="center"/>
    </xf>
    <xf numFmtId="0" fontId="15" fillId="0" borderId="3" xfId="21" applyFont="1" applyFill="1" applyBorder="1" applyAlignment="1" applyProtection="1">
      <alignment horizontal="left" vertical="top" wrapText="1"/>
      <protection locked="0"/>
    </xf>
    <xf numFmtId="41" fontId="3" fillId="4" borderId="3" xfId="3" applyNumberFormat="1" applyFont="1" applyFill="1" applyBorder="1" applyAlignment="1">
      <alignment horizontal="center" vertical="center"/>
    </xf>
    <xf numFmtId="41" fontId="3" fillId="4" borderId="3" xfId="3" applyNumberFormat="1" applyFont="1" applyFill="1" applyBorder="1" applyAlignment="1">
      <alignment vertical="center"/>
    </xf>
    <xf numFmtId="0" fontId="3" fillId="4" borderId="3" xfId="21" applyFont="1" applyFill="1" applyBorder="1" applyAlignment="1">
      <alignment horizontal="left" vertical="center" wrapText="1"/>
    </xf>
    <xf numFmtId="0" fontId="11" fillId="4" borderId="0" xfId="21" applyFont="1" applyFill="1" applyAlignment="1">
      <alignment vertical="center"/>
    </xf>
    <xf numFmtId="41" fontId="3" fillId="4" borderId="3" xfId="25" applyNumberFormat="1" applyFont="1" applyFill="1" applyBorder="1" applyAlignment="1">
      <alignment horizontal="center"/>
    </xf>
    <xf numFmtId="41" fontId="3" fillId="4" borderId="3" xfId="25" applyNumberFormat="1" applyFont="1" applyFill="1" applyBorder="1"/>
    <xf numFmtId="0" fontId="3" fillId="4" borderId="3" xfId="21" applyFont="1" applyFill="1" applyBorder="1" applyAlignment="1">
      <alignment horizontal="center" vertical="top"/>
    </xf>
    <xf numFmtId="165" fontId="2" fillId="5" borderId="3" xfId="19" applyNumberFormat="1" applyFont="1" applyFill="1" applyBorder="1" applyAlignment="1">
      <alignment horizontal="center"/>
    </xf>
    <xf numFmtId="165" fontId="2" fillId="5" borderId="3" xfId="19" applyNumberFormat="1" applyFont="1" applyFill="1" applyBorder="1"/>
    <xf numFmtId="0" fontId="2" fillId="2" borderId="3" xfId="21" applyFont="1" applyFill="1" applyBorder="1" applyAlignment="1">
      <alignment horizontal="center" vertical="center"/>
    </xf>
    <xf numFmtId="0" fontId="2" fillId="2" borderId="3" xfId="3" applyFont="1" applyFill="1" applyBorder="1" applyAlignment="1">
      <alignment vertical="center"/>
    </xf>
    <xf numFmtId="165" fontId="2" fillId="2" borderId="3" xfId="19" applyNumberFormat="1" applyFont="1" applyFill="1" applyBorder="1" applyAlignment="1">
      <alignment horizontal="center" vertical="center"/>
    </xf>
    <xf numFmtId="165" fontId="2" fillId="2" borderId="3" xfId="19" applyNumberFormat="1" applyFont="1" applyFill="1" applyBorder="1" applyAlignment="1">
      <alignment vertical="center"/>
    </xf>
    <xf numFmtId="41" fontId="3" fillId="4" borderId="3" xfId="5" applyNumberFormat="1" applyFont="1" applyFill="1" applyBorder="1" applyAlignment="1">
      <alignment horizontal="left" vertical="center"/>
    </xf>
    <xf numFmtId="0" fontId="40" fillId="0" borderId="0" xfId="21" applyFont="1"/>
    <xf numFmtId="41" fontId="3" fillId="4" borderId="3" xfId="25" applyNumberFormat="1" applyFont="1" applyFill="1" applyBorder="1" applyAlignment="1">
      <alignment horizontal="center" vertical="center"/>
    </xf>
    <xf numFmtId="41" fontId="3" fillId="4" borderId="3" xfId="25" applyNumberFormat="1" applyFont="1" applyFill="1" applyBorder="1" applyAlignment="1">
      <alignment vertical="center"/>
    </xf>
    <xf numFmtId="0" fontId="3" fillId="7" borderId="3" xfId="21" applyFont="1" applyFill="1" applyBorder="1" applyAlignment="1">
      <alignment horizontal="center" vertical="center"/>
    </xf>
    <xf numFmtId="0" fontId="3" fillId="7" borderId="3" xfId="3" applyFont="1" applyFill="1" applyBorder="1" applyAlignment="1">
      <alignment horizontal="left" vertical="center" wrapText="1"/>
    </xf>
    <xf numFmtId="41" fontId="3" fillId="7" borderId="3" xfId="25" applyNumberFormat="1" applyFont="1" applyFill="1" applyBorder="1" applyAlignment="1">
      <alignment horizontal="center" vertical="center"/>
    </xf>
    <xf numFmtId="41" fontId="3" fillId="7" borderId="3" xfId="25" applyNumberFormat="1" applyFont="1" applyFill="1" applyBorder="1" applyAlignment="1">
      <alignment vertical="center"/>
    </xf>
    <xf numFmtId="0" fontId="11" fillId="7" borderId="0" xfId="21" applyFont="1" applyFill="1"/>
    <xf numFmtId="0" fontId="2" fillId="5" borderId="3" xfId="3" applyFont="1" applyFill="1" applyBorder="1" applyAlignment="1">
      <alignment horizontal="left" vertical="center"/>
    </xf>
    <xf numFmtId="165" fontId="2" fillId="5" borderId="3" xfId="19" applyNumberFormat="1" applyFont="1" applyFill="1" applyBorder="1" applyAlignment="1">
      <alignment horizontal="left" vertical="center"/>
    </xf>
    <xf numFmtId="0" fontId="2" fillId="5" borderId="3" xfId="21" applyFont="1" applyFill="1" applyBorder="1" applyAlignment="1">
      <alignment horizontal="left" vertical="center" wrapText="1"/>
    </xf>
    <xf numFmtId="165" fontId="2" fillId="5" borderId="3" xfId="19" applyNumberFormat="1" applyFont="1" applyFill="1" applyBorder="1" applyAlignment="1">
      <alignment horizontal="center" vertical="center" wrapText="1"/>
    </xf>
    <xf numFmtId="165" fontId="2" fillId="5" borderId="3" xfId="19" applyNumberFormat="1" applyFont="1" applyFill="1" applyBorder="1" applyAlignment="1">
      <alignment horizontal="left" vertical="center" wrapText="1"/>
    </xf>
    <xf numFmtId="0" fontId="3" fillId="4" borderId="3" xfId="3" applyFont="1" applyFill="1" applyBorder="1" applyAlignment="1">
      <alignment horizontal="left" vertical="center"/>
    </xf>
    <xf numFmtId="0" fontId="2" fillId="3" borderId="3" xfId="21" applyFont="1" applyFill="1" applyBorder="1" applyAlignment="1">
      <alignment horizontal="center" vertical="center"/>
    </xf>
    <xf numFmtId="0" fontId="2" fillId="5" borderId="3" xfId="3" applyFont="1" applyFill="1" applyBorder="1" applyAlignment="1">
      <alignment horizontal="left" vertical="center" wrapText="1"/>
    </xf>
    <xf numFmtId="0" fontId="3" fillId="4" borderId="3" xfId="21" quotePrefix="1" applyFont="1" applyFill="1" applyBorder="1" applyAlignment="1">
      <alignment horizontal="center" vertical="center"/>
    </xf>
    <xf numFmtId="0" fontId="3" fillId="7" borderId="3" xfId="21" quotePrefix="1" applyFont="1" applyFill="1" applyBorder="1" applyAlignment="1">
      <alignment horizontal="center" vertical="center"/>
    </xf>
    <xf numFmtId="0" fontId="3" fillId="7" borderId="3" xfId="3" applyFont="1" applyFill="1" applyBorder="1" applyAlignment="1">
      <alignment vertical="center"/>
    </xf>
    <xf numFmtId="41" fontId="3" fillId="7" borderId="3" xfId="11" applyFont="1" applyFill="1" applyBorder="1" applyAlignment="1">
      <alignment horizontal="center" vertical="center"/>
    </xf>
    <xf numFmtId="41" fontId="3" fillId="7" borderId="3" xfId="11" applyFont="1" applyFill="1" applyBorder="1" applyAlignment="1">
      <alignment vertical="center"/>
    </xf>
    <xf numFmtId="165" fontId="2" fillId="5" borderId="3" xfId="19" applyNumberFormat="1" applyFont="1" applyFill="1" applyBorder="1" applyAlignment="1">
      <alignment horizontal="center" wrapText="1"/>
    </xf>
    <xf numFmtId="165" fontId="2" fillId="5" borderId="3" xfId="19" applyNumberFormat="1" applyFont="1" applyFill="1" applyBorder="1" applyAlignment="1">
      <alignment horizontal="left" wrapText="1"/>
    </xf>
    <xf numFmtId="0" fontId="2" fillId="3" borderId="3" xfId="3" applyFont="1" applyFill="1" applyBorder="1" applyAlignment="1">
      <alignment horizontal="left" vertical="center" wrapText="1"/>
    </xf>
    <xf numFmtId="165" fontId="2" fillId="3" borderId="3" xfId="19" applyNumberFormat="1" applyFont="1" applyFill="1" applyBorder="1" applyAlignment="1">
      <alignment horizontal="center" vertical="center" wrapText="1"/>
    </xf>
    <xf numFmtId="165" fontId="2" fillId="3" borderId="3" xfId="19" applyNumberFormat="1" applyFont="1" applyFill="1" applyBorder="1" applyAlignment="1">
      <alignment horizontal="left" vertical="center" wrapText="1"/>
    </xf>
    <xf numFmtId="165" fontId="3" fillId="4" borderId="3" xfId="19" applyNumberFormat="1" applyFont="1" applyFill="1" applyBorder="1" applyAlignment="1">
      <alignment horizontal="center" vertical="center"/>
    </xf>
    <xf numFmtId="165" fontId="40" fillId="2" borderId="3" xfId="19" applyNumberFormat="1" applyFont="1" applyFill="1" applyBorder="1" applyAlignment="1">
      <alignment horizontal="center" vertical="center" wrapText="1"/>
    </xf>
    <xf numFmtId="0" fontId="3" fillId="4" borderId="0" xfId="21" applyFont="1" applyFill="1" applyAlignment="1">
      <alignment horizontal="center"/>
    </xf>
    <xf numFmtId="0" fontId="3" fillId="4" borderId="0" xfId="21" applyFont="1" applyFill="1"/>
    <xf numFmtId="165" fontId="3" fillId="4" borderId="0" xfId="19" applyNumberFormat="1" applyFont="1" applyFill="1" applyAlignment="1">
      <alignment horizontal="center"/>
    </xf>
    <xf numFmtId="0" fontId="3" fillId="4" borderId="0" xfId="21" applyFont="1" applyFill="1" applyAlignment="1"/>
    <xf numFmtId="165" fontId="11" fillId="4" borderId="0" xfId="19" applyNumberFormat="1" applyFont="1" applyFill="1" applyBorder="1" applyAlignment="1">
      <alignment horizontal="center"/>
    </xf>
    <xf numFmtId="0" fontId="3" fillId="4" borderId="0" xfId="21" applyFont="1" applyFill="1" applyAlignment="1">
      <alignment horizontal="left"/>
    </xf>
    <xf numFmtId="165" fontId="6" fillId="0" borderId="0" xfId="19" applyNumberFormat="1" applyFont="1" applyAlignment="1">
      <alignment horizontal="center"/>
    </xf>
    <xf numFmtId="0" fontId="6" fillId="0" borderId="0" xfId="21" applyAlignment="1">
      <alignment horizontal="center"/>
    </xf>
    <xf numFmtId="0" fontId="42" fillId="0" borderId="0" xfId="21" applyFont="1"/>
    <xf numFmtId="0" fontId="2" fillId="0" borderId="0" xfId="2" applyFont="1" applyAlignment="1">
      <alignment horizontal="center"/>
    </xf>
    <xf numFmtId="41" fontId="3" fillId="0" borderId="0" xfId="11" applyFont="1" applyBorder="1"/>
    <xf numFmtId="41" fontId="3" fillId="0" borderId="0" xfId="11" applyFont="1" applyBorder="1" applyAlignment="1">
      <alignment horizontal="center"/>
    </xf>
    <xf numFmtId="0" fontId="42" fillId="4" borderId="0" xfId="21" applyFont="1" applyFill="1"/>
    <xf numFmtId="0" fontId="41" fillId="2" borderId="4" xfId="21" applyFont="1" applyFill="1" applyBorder="1" applyAlignment="1">
      <alignment horizontal="center" wrapText="1"/>
    </xf>
    <xf numFmtId="0" fontId="41" fillId="2" borderId="4" xfId="21" applyFont="1" applyFill="1" applyBorder="1" applyAlignment="1">
      <alignment horizontal="center" vertical="center" wrapText="1"/>
    </xf>
    <xf numFmtId="0" fontId="42" fillId="4" borderId="0" xfId="21" applyFont="1" applyFill="1" applyAlignment="1">
      <alignment horizontal="center"/>
    </xf>
    <xf numFmtId="0" fontId="2" fillId="3" borderId="3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 wrapText="1"/>
    </xf>
    <xf numFmtId="0" fontId="2" fillId="5" borderId="3" xfId="3" applyFont="1" applyFill="1" applyBorder="1" applyAlignment="1">
      <alignment horizontal="center" wrapText="1"/>
    </xf>
    <xf numFmtId="0" fontId="3" fillId="4" borderId="3" xfId="3" applyFont="1" applyFill="1" applyBorder="1" applyAlignment="1">
      <alignment horizontal="center" wrapText="1"/>
    </xf>
    <xf numFmtId="0" fontId="3" fillId="4" borderId="3" xfId="3" applyFont="1" applyFill="1" applyBorder="1" applyAlignment="1">
      <alignment horizontal="center"/>
    </xf>
    <xf numFmtId="0" fontId="2" fillId="5" borderId="3" xfId="21" applyFont="1" applyFill="1" applyBorder="1" applyAlignment="1">
      <alignment horizontal="center" wrapText="1"/>
    </xf>
    <xf numFmtId="0" fontId="42" fillId="4" borderId="0" xfId="21" applyFont="1" applyFill="1" applyAlignment="1">
      <alignment vertical="center"/>
    </xf>
    <xf numFmtId="0" fontId="16" fillId="5" borderId="3" xfId="21" applyFont="1" applyFill="1" applyBorder="1" applyAlignment="1" applyProtection="1">
      <alignment horizontal="center" wrapText="1"/>
      <protection locked="0"/>
    </xf>
    <xf numFmtId="0" fontId="3" fillId="4" borderId="3" xfId="21" applyFont="1" applyFill="1" applyBorder="1" applyAlignment="1">
      <alignment horizontal="center" wrapText="1"/>
    </xf>
    <xf numFmtId="0" fontId="2" fillId="5" borderId="3" xfId="3" applyFont="1" applyFill="1" applyBorder="1" applyAlignment="1">
      <alignment horizontal="center"/>
    </xf>
    <xf numFmtId="0" fontId="43" fillId="0" borderId="0" xfId="21" applyFont="1"/>
    <xf numFmtId="0" fontId="2" fillId="2" borderId="3" xfId="3" applyFont="1" applyFill="1" applyBorder="1" applyAlignment="1">
      <alignment horizontal="center"/>
    </xf>
    <xf numFmtId="0" fontId="42" fillId="0" borderId="0" xfId="21" applyFont="1" applyAlignment="1">
      <alignment vertical="center"/>
    </xf>
    <xf numFmtId="0" fontId="2" fillId="3" borderId="3" xfId="3" applyFont="1" applyFill="1" applyBorder="1" applyAlignment="1">
      <alignment horizontal="center" wrapText="1"/>
    </xf>
    <xf numFmtId="0" fontId="40" fillId="2" borderId="3" xfId="21" applyFont="1" applyFill="1" applyBorder="1" applyAlignment="1">
      <alignment horizontal="center" wrapText="1"/>
    </xf>
    <xf numFmtId="165" fontId="40" fillId="2" borderId="3" xfId="19" applyNumberFormat="1" applyFont="1" applyFill="1" applyBorder="1" applyAlignment="1">
      <alignment horizontal="center" vertical="top" wrapText="1"/>
    </xf>
    <xf numFmtId="0" fontId="40" fillId="2" borderId="3" xfId="21" applyFont="1" applyFill="1" applyBorder="1" applyAlignment="1">
      <alignment horizontal="center" vertical="top" wrapText="1"/>
    </xf>
    <xf numFmtId="0" fontId="42" fillId="0" borderId="0" xfId="21" applyFont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vertical="center"/>
    </xf>
    <xf numFmtId="0" fontId="41" fillId="2" borderId="3" xfId="21" applyFont="1" applyFill="1" applyBorder="1" applyAlignment="1">
      <alignment horizontal="center" vertical="center" wrapText="1"/>
    </xf>
    <xf numFmtId="0" fontId="3" fillId="8" borderId="3" xfId="21" applyFont="1" applyFill="1" applyBorder="1" applyAlignment="1">
      <alignment horizontal="center" vertical="center"/>
    </xf>
    <xf numFmtId="0" fontId="3" fillId="8" borderId="3" xfId="3" applyFont="1" applyFill="1" applyBorder="1" applyAlignment="1">
      <alignment vertical="center"/>
    </xf>
    <xf numFmtId="41" fontId="3" fillId="8" borderId="3" xfId="5" applyNumberFormat="1" applyFont="1" applyFill="1" applyBorder="1" applyAlignment="1">
      <alignment horizontal="center" vertical="center"/>
    </xf>
    <xf numFmtId="41" fontId="3" fillId="8" borderId="3" xfId="5" applyNumberFormat="1" applyFont="1" applyFill="1" applyBorder="1" applyAlignment="1">
      <alignment vertical="center"/>
    </xf>
    <xf numFmtId="0" fontId="11" fillId="8" borderId="0" xfId="21" applyFont="1" applyFill="1"/>
    <xf numFmtId="0" fontId="3" fillId="8" borderId="3" xfId="3" applyFont="1" applyFill="1" applyBorder="1" applyAlignment="1">
      <alignment vertical="center" wrapText="1"/>
    </xf>
    <xf numFmtId="41" fontId="3" fillId="8" borderId="3" xfId="11" applyFont="1" applyFill="1" applyBorder="1" applyAlignment="1">
      <alignment horizontal="center" vertical="center"/>
    </xf>
    <xf numFmtId="41" fontId="3" fillId="8" borderId="3" xfId="11" applyFont="1" applyFill="1" applyBorder="1" applyAlignment="1">
      <alignment vertical="center"/>
    </xf>
    <xf numFmtId="0" fontId="3" fillId="8" borderId="3" xfId="21" quotePrefix="1" applyFont="1" applyFill="1" applyBorder="1" applyAlignment="1">
      <alignment horizontal="center" vertical="center"/>
    </xf>
    <xf numFmtId="0" fontId="3" fillId="8" borderId="3" xfId="3" applyFont="1" applyFill="1" applyBorder="1" applyAlignment="1">
      <alignment horizontal="left" vertical="center" wrapText="1"/>
    </xf>
    <xf numFmtId="41" fontId="3" fillId="8" borderId="3" xfId="25" applyNumberFormat="1" applyFont="1" applyFill="1" applyBorder="1" applyAlignment="1">
      <alignment horizontal="center" vertical="center"/>
    </xf>
    <xf numFmtId="41" fontId="3" fillId="8" borderId="3" xfId="25" applyNumberFormat="1" applyFont="1" applyFill="1" applyBorder="1" applyAlignment="1">
      <alignment vertical="center"/>
    </xf>
    <xf numFmtId="41" fontId="3" fillId="8" borderId="3" xfId="4" applyFont="1" applyFill="1" applyBorder="1" applyAlignment="1">
      <alignment horizontal="center" vertical="center" wrapText="1"/>
    </xf>
    <xf numFmtId="41" fontId="3" fillId="8" borderId="3" xfId="4" applyFont="1" applyFill="1" applyBorder="1" applyAlignment="1">
      <alignment vertical="center" wrapText="1"/>
    </xf>
    <xf numFmtId="0" fontId="2" fillId="0" borderId="0" xfId="21" applyFont="1" applyAlignment="1">
      <alignment horizontal="left"/>
    </xf>
    <xf numFmtId="0" fontId="2" fillId="0" borderId="0" xfId="21" applyFont="1" applyAlignment="1">
      <alignment horizontal="center"/>
    </xf>
    <xf numFmtId="0" fontId="2" fillId="0" borderId="0" xfId="21" applyFont="1"/>
    <xf numFmtId="43" fontId="2" fillId="0" borderId="0" xfId="50" applyFont="1" applyAlignment="1">
      <alignment horizontal="right"/>
    </xf>
    <xf numFmtId="0" fontId="3" fillId="0" borderId="0" xfId="21" applyFont="1"/>
    <xf numFmtId="0" fontId="3" fillId="0" borderId="0" xfId="21" applyFont="1" applyAlignment="1">
      <alignment horizontal="center"/>
    </xf>
    <xf numFmtId="43" fontId="3" fillId="0" borderId="0" xfId="50" applyFont="1" applyAlignment="1">
      <alignment horizontal="right"/>
    </xf>
    <xf numFmtId="0" fontId="2" fillId="0" borderId="0" xfId="21" applyFont="1" applyAlignment="1">
      <alignment vertical="center"/>
    </xf>
    <xf numFmtId="0" fontId="45" fillId="6" borderId="3" xfId="21" applyFont="1" applyFill="1" applyBorder="1" applyAlignment="1">
      <alignment horizontal="center" vertical="center"/>
    </xf>
    <xf numFmtId="0" fontId="45" fillId="6" borderId="19" xfId="21" applyFont="1" applyFill="1" applyBorder="1" applyAlignment="1">
      <alignment horizontal="center"/>
    </xf>
    <xf numFmtId="0" fontId="2" fillId="0" borderId="18" xfId="21" applyFont="1" applyBorder="1" applyAlignment="1">
      <alignment horizontal="center" vertical="center"/>
    </xf>
    <xf numFmtId="0" fontId="2" fillId="0" borderId="3" xfId="21" applyFont="1" applyBorder="1" applyAlignment="1">
      <alignment horizontal="center" vertical="center"/>
    </xf>
    <xf numFmtId="0" fontId="3" fillId="0" borderId="3" xfId="21" applyFont="1" applyBorder="1" applyAlignment="1">
      <alignment horizontal="center" vertical="center"/>
    </xf>
    <xf numFmtId="43" fontId="3" fillId="0" borderId="3" xfId="50" applyFont="1" applyBorder="1" applyAlignment="1">
      <alignment horizontal="right" vertical="center"/>
    </xf>
    <xf numFmtId="0" fontId="3" fillId="0" borderId="19" xfId="21" applyFont="1" applyBorder="1"/>
    <xf numFmtId="0" fontId="2" fillId="0" borderId="18" xfId="21" applyFont="1" applyBorder="1" applyAlignment="1">
      <alignment horizontal="center" vertical="top" wrapText="1"/>
    </xf>
    <xf numFmtId="0" fontId="2" fillId="0" borderId="3" xfId="21" applyFont="1" applyBorder="1" applyAlignment="1">
      <alignment horizontal="center" vertical="top" wrapText="1"/>
    </xf>
    <xf numFmtId="0" fontId="2" fillId="0" borderId="3" xfId="21" applyFont="1" applyBorder="1" applyAlignment="1">
      <alignment vertical="top" wrapText="1"/>
    </xf>
    <xf numFmtId="41" fontId="2" fillId="0" borderId="3" xfId="50" applyNumberFormat="1" applyFont="1" applyBorder="1" applyAlignment="1">
      <alignment horizontal="right" vertical="top" wrapText="1"/>
    </xf>
    <xf numFmtId="0" fontId="2" fillId="0" borderId="19" xfId="21" applyFont="1" applyBorder="1"/>
    <xf numFmtId="41" fontId="2" fillId="0" borderId="19" xfId="50" applyNumberFormat="1" applyFont="1" applyBorder="1" applyAlignment="1">
      <alignment horizontal="right" vertical="top" wrapText="1"/>
    </xf>
    <xf numFmtId="0" fontId="41" fillId="0" borderId="3" xfId="21" applyFont="1" applyBorder="1" applyAlignment="1">
      <alignment horizontal="center" vertical="top" wrapText="1"/>
    </xf>
    <xf numFmtId="0" fontId="41" fillId="0" borderId="3" xfId="21" applyFont="1" applyBorder="1" applyAlignment="1">
      <alignment vertical="top" wrapText="1"/>
    </xf>
    <xf numFmtId="41" fontId="41" fillId="0" borderId="3" xfId="50" applyNumberFormat="1" applyFont="1" applyBorder="1" applyAlignment="1">
      <alignment horizontal="right" vertical="top" wrapText="1"/>
    </xf>
    <xf numFmtId="0" fontId="41" fillId="0" borderId="19" xfId="21" applyFont="1" applyBorder="1"/>
    <xf numFmtId="0" fontId="41" fillId="0" borderId="0" xfId="21" applyFont="1"/>
    <xf numFmtId="0" fontId="3" fillId="0" borderId="3" xfId="21" applyFont="1" applyBorder="1" applyAlignment="1">
      <alignment horizontal="center" vertical="top" wrapText="1"/>
    </xf>
    <xf numFmtId="0" fontId="3" fillId="0" borderId="3" xfId="21" quotePrefix="1" applyFont="1" applyBorder="1" applyAlignment="1">
      <alignment horizontal="center" vertical="top" wrapText="1"/>
    </xf>
    <xf numFmtId="0" fontId="3" fillId="0" borderId="3" xfId="21" applyFont="1" applyBorder="1" applyAlignment="1">
      <alignment vertical="top" wrapText="1"/>
    </xf>
    <xf numFmtId="41" fontId="3" fillId="0" borderId="3" xfId="50" applyNumberFormat="1" applyFont="1" applyBorder="1" applyAlignment="1">
      <alignment horizontal="right" vertical="top" wrapText="1"/>
    </xf>
    <xf numFmtId="41" fontId="2" fillId="5" borderId="23" xfId="50" applyNumberFormat="1" applyFont="1" applyFill="1" applyBorder="1" applyAlignment="1">
      <alignment horizontal="right" vertical="top" wrapText="1"/>
    </xf>
    <xf numFmtId="0" fontId="2" fillId="5" borderId="24" xfId="21" applyFont="1" applyFill="1" applyBorder="1"/>
    <xf numFmtId="0" fontId="3" fillId="0" borderId="0" xfId="21" applyFont="1" applyAlignment="1">
      <alignment horizontal="center" vertical="top" wrapText="1"/>
    </xf>
    <xf numFmtId="0" fontId="3" fillId="0" borderId="0" xfId="21" applyFont="1" applyAlignment="1">
      <alignment horizontal="left" vertical="top" wrapText="1"/>
    </xf>
    <xf numFmtId="43" fontId="3" fillId="0" borderId="0" xfId="50" applyFont="1" applyAlignment="1">
      <alignment horizontal="right" vertical="top" wrapText="1"/>
    </xf>
    <xf numFmtId="43" fontId="3" fillId="0" borderId="0" xfId="1" applyFont="1"/>
    <xf numFmtId="43" fontId="3" fillId="0" borderId="0" xfId="21" applyNumberFormat="1" applyFont="1"/>
    <xf numFmtId="0" fontId="15" fillId="4" borderId="3" xfId="21" applyFont="1" applyFill="1" applyBorder="1" applyAlignment="1" applyProtection="1">
      <alignment horizontal="left" vertical="top" wrapText="1"/>
      <protection locked="0"/>
    </xf>
    <xf numFmtId="0" fontId="2" fillId="4" borderId="0" xfId="21" applyFont="1" applyFill="1"/>
    <xf numFmtId="165" fontId="3" fillId="4" borderId="3" xfId="19" applyNumberFormat="1" applyFont="1" applyFill="1" applyBorder="1" applyAlignment="1">
      <alignment horizontal="center" vertical="center" wrapText="1"/>
    </xf>
    <xf numFmtId="165" fontId="3" fillId="4" borderId="3" xfId="19" applyNumberFormat="1" applyFont="1" applyFill="1" applyBorder="1" applyAlignment="1">
      <alignment vertical="center" wrapText="1"/>
    </xf>
    <xf numFmtId="165" fontId="3" fillId="4" borderId="3" xfId="19" applyNumberFormat="1" applyFont="1" applyFill="1" applyBorder="1" applyAlignment="1">
      <alignment vertical="center"/>
    </xf>
    <xf numFmtId="0" fontId="3" fillId="4" borderId="3" xfId="21" applyFont="1" applyFill="1" applyBorder="1" applyAlignment="1">
      <alignment horizontal="left" wrapText="1"/>
    </xf>
    <xf numFmtId="165" fontId="3" fillId="4" borderId="3" xfId="19" applyNumberFormat="1" applyFont="1" applyFill="1" applyBorder="1" applyAlignment="1">
      <alignment horizontal="center"/>
    </xf>
    <xf numFmtId="165" fontId="3" fillId="4" borderId="3" xfId="19" applyNumberFormat="1" applyFont="1" applyFill="1" applyBorder="1"/>
    <xf numFmtId="165" fontId="3" fillId="4" borderId="3" xfId="19" applyNumberFormat="1" applyFont="1" applyFill="1" applyBorder="1" applyAlignment="1">
      <alignment horizontal="left" vertical="center"/>
    </xf>
    <xf numFmtId="165" fontId="3" fillId="4" borderId="3" xfId="19" applyNumberFormat="1" applyFont="1" applyFill="1" applyBorder="1" applyAlignment="1">
      <alignment horizontal="left" vertical="center" wrapText="1"/>
    </xf>
    <xf numFmtId="165" fontId="3" fillId="4" borderId="3" xfId="19" applyNumberFormat="1" applyFont="1" applyFill="1" applyBorder="1" applyAlignment="1">
      <alignment horizontal="center" wrapText="1"/>
    </xf>
    <xf numFmtId="165" fontId="3" fillId="4" borderId="3" xfId="19" applyNumberFormat="1" applyFont="1" applyFill="1" applyBorder="1" applyAlignment="1">
      <alignment horizontal="left" wrapText="1"/>
    </xf>
    <xf numFmtId="0" fontId="15" fillId="9" borderId="3" xfId="36" applyNumberFormat="1" applyFont="1" applyFill="1" applyBorder="1" applyAlignment="1" applyProtection="1">
      <alignment horizontal="center" vertical="top"/>
      <protection locked="0"/>
    </xf>
    <xf numFmtId="0" fontId="15" fillId="9" borderId="3" xfId="37" applyFont="1" applyFill="1" applyBorder="1" applyAlignment="1" applyProtection="1">
      <alignment horizontal="left" vertical="top"/>
      <protection locked="0"/>
    </xf>
    <xf numFmtId="0" fontId="15" fillId="9" borderId="3" xfId="37" applyFont="1" applyFill="1" applyBorder="1"/>
    <xf numFmtId="164" fontId="15" fillId="9" borderId="3" xfId="38" applyFont="1" applyFill="1" applyBorder="1"/>
    <xf numFmtId="0" fontId="15" fillId="9" borderId="0" xfId="37" applyFont="1" applyFill="1"/>
    <xf numFmtId="0" fontId="15" fillId="6" borderId="3" xfId="36" applyNumberFormat="1" applyFont="1" applyFill="1" applyBorder="1" applyAlignment="1"/>
    <xf numFmtId="0" fontId="15" fillId="6" borderId="3" xfId="37" applyFont="1" applyFill="1" applyBorder="1"/>
    <xf numFmtId="41" fontId="3" fillId="0" borderId="0" xfId="21" applyNumberFormat="1" applyFont="1"/>
    <xf numFmtId="0" fontId="3" fillId="0" borderId="0" xfId="21" applyFont="1" applyAlignment="1">
      <alignment horizontal="right"/>
    </xf>
    <xf numFmtId="43" fontId="3" fillId="0" borderId="0" xfId="50" applyFont="1" applyAlignment="1">
      <alignment horizontal="center"/>
    </xf>
    <xf numFmtId="0" fontId="47" fillId="0" borderId="0" xfId="21" applyFont="1"/>
    <xf numFmtId="0" fontId="47" fillId="0" borderId="0" xfId="21" applyFont="1" applyAlignment="1">
      <alignment vertical="center"/>
    </xf>
    <xf numFmtId="0" fontId="48" fillId="6" borderId="3" xfId="21" applyFont="1" applyFill="1" applyBorder="1" applyAlignment="1">
      <alignment horizontal="center" vertical="center"/>
    </xf>
    <xf numFmtId="0" fontId="49" fillId="0" borderId="0" xfId="21" applyFont="1"/>
    <xf numFmtId="0" fontId="49" fillId="0" borderId="3" xfId="21" applyFont="1" applyBorder="1" applyAlignment="1">
      <alignment horizontal="center" vertical="center"/>
    </xf>
    <xf numFmtId="0" fontId="49" fillId="0" borderId="3" xfId="21" applyFont="1" applyBorder="1" applyAlignment="1">
      <alignment horizontal="right" vertical="center"/>
    </xf>
    <xf numFmtId="43" fontId="49" fillId="0" borderId="3" xfId="50" applyFont="1" applyBorder="1" applyAlignment="1">
      <alignment horizontal="center" vertical="center"/>
    </xf>
    <xf numFmtId="0" fontId="49" fillId="0" borderId="3" xfId="21" applyFont="1" applyBorder="1"/>
    <xf numFmtId="0" fontId="47" fillId="0" borderId="3" xfId="21" applyFont="1" applyBorder="1" applyAlignment="1">
      <alignment horizontal="center" vertical="top" wrapText="1"/>
    </xf>
    <xf numFmtId="0" fontId="47" fillId="0" borderId="3" xfId="21" applyFont="1" applyBorder="1" applyAlignment="1">
      <alignment vertical="top" wrapText="1"/>
    </xf>
    <xf numFmtId="0" fontId="47" fillId="0" borderId="3" xfId="21" applyFont="1" applyBorder="1" applyAlignment="1">
      <alignment horizontal="right" vertical="top" wrapText="1"/>
    </xf>
    <xf numFmtId="41" fontId="47" fillId="0" borderId="3" xfId="50" applyNumberFormat="1" applyFont="1" applyBorder="1" applyAlignment="1">
      <alignment vertical="top" wrapText="1"/>
    </xf>
    <xf numFmtId="41" fontId="47" fillId="0" borderId="3" xfId="50" applyNumberFormat="1" applyFont="1" applyBorder="1" applyAlignment="1">
      <alignment horizontal="center" vertical="top" wrapText="1"/>
    </xf>
    <xf numFmtId="0" fontId="50" fillId="0" borderId="3" xfId="21" applyFont="1" applyBorder="1" applyAlignment="1">
      <alignment horizontal="center" vertical="top" wrapText="1"/>
    </xf>
    <xf numFmtId="0" fontId="50" fillId="0" borderId="3" xfId="21" applyFont="1" applyBorder="1" applyAlignment="1">
      <alignment vertical="top" wrapText="1"/>
    </xf>
    <xf numFmtId="0" fontId="50" fillId="0" borderId="3" xfId="21" applyFont="1" applyBorder="1" applyAlignment="1">
      <alignment horizontal="right" vertical="top" wrapText="1"/>
    </xf>
    <xf numFmtId="0" fontId="50" fillId="0" borderId="0" xfId="21" applyFont="1"/>
    <xf numFmtId="0" fontId="49" fillId="0" borderId="3" xfId="21" applyFont="1" applyBorder="1" applyAlignment="1">
      <alignment horizontal="center" vertical="top" wrapText="1"/>
    </xf>
    <xf numFmtId="0" fontId="49" fillId="0" borderId="3" xfId="21" applyFont="1" applyBorder="1" applyAlignment="1">
      <alignment vertical="top" wrapText="1"/>
    </xf>
    <xf numFmtId="0" fontId="49" fillId="0" borderId="3" xfId="21" quotePrefix="1" applyFont="1" applyBorder="1" applyAlignment="1">
      <alignment horizontal="right" vertical="top" wrapText="1"/>
    </xf>
    <xf numFmtId="41" fontId="49" fillId="0" borderId="3" xfId="50" applyNumberFormat="1" applyFont="1" applyBorder="1" applyAlignment="1">
      <alignment vertical="top" wrapText="1"/>
    </xf>
    <xf numFmtId="41" fontId="49" fillId="0" borderId="3" xfId="21" applyNumberFormat="1" applyFont="1" applyBorder="1" applyAlignment="1">
      <alignment horizontal="center" vertical="top" wrapText="1"/>
    </xf>
    <xf numFmtId="41" fontId="49" fillId="0" borderId="3" xfId="21" applyNumberFormat="1" applyFont="1" applyBorder="1"/>
    <xf numFmtId="0" fontId="49" fillId="0" borderId="3" xfId="21" applyFont="1" applyBorder="1" applyAlignment="1">
      <alignment horizontal="right" vertical="top" wrapText="1"/>
    </xf>
    <xf numFmtId="0" fontId="47" fillId="2" borderId="3" xfId="21" applyFont="1" applyFill="1" applyBorder="1" applyAlignment="1">
      <alignment horizontal="center" vertical="top" wrapText="1"/>
    </xf>
    <xf numFmtId="0" fontId="47" fillId="2" borderId="3" xfId="21" applyFont="1" applyFill="1" applyBorder="1" applyAlignment="1">
      <alignment vertical="top" wrapText="1"/>
    </xf>
    <xf numFmtId="0" fontId="47" fillId="2" borderId="3" xfId="21" applyFont="1" applyFill="1" applyBorder="1" applyAlignment="1">
      <alignment horizontal="right" vertical="top" wrapText="1"/>
    </xf>
    <xf numFmtId="41" fontId="47" fillId="2" borderId="3" xfId="50" applyNumberFormat="1" applyFont="1" applyFill="1" applyBorder="1" applyAlignment="1">
      <alignment vertical="top" wrapText="1"/>
    </xf>
    <xf numFmtId="41" fontId="47" fillId="2" borderId="3" xfId="50" applyNumberFormat="1" applyFont="1" applyFill="1" applyBorder="1" applyAlignment="1">
      <alignment horizontal="center" vertical="top" wrapText="1"/>
    </xf>
    <xf numFmtId="41" fontId="51" fillId="0" borderId="3" xfId="50" applyNumberFormat="1" applyFont="1" applyBorder="1" applyAlignment="1">
      <alignment vertical="top" wrapText="1"/>
    </xf>
    <xf numFmtId="0" fontId="47" fillId="5" borderId="3" xfId="21" applyFont="1" applyFill="1" applyBorder="1"/>
    <xf numFmtId="0" fontId="47" fillId="5" borderId="3" xfId="21" applyFont="1" applyFill="1" applyBorder="1" applyAlignment="1">
      <alignment horizontal="center" vertical="top" wrapText="1"/>
    </xf>
    <xf numFmtId="0" fontId="47" fillId="5" borderId="3" xfId="21" applyFont="1" applyFill="1" applyBorder="1" applyAlignment="1">
      <alignment vertical="top" wrapText="1"/>
    </xf>
    <xf numFmtId="41" fontId="47" fillId="5" borderId="3" xfId="50" applyNumberFormat="1" applyFont="1" applyFill="1" applyBorder="1" applyAlignment="1">
      <alignment vertical="top" wrapText="1"/>
    </xf>
    <xf numFmtId="41" fontId="47" fillId="5" borderId="3" xfId="50" applyNumberFormat="1" applyFont="1" applyFill="1" applyBorder="1" applyAlignment="1">
      <alignment horizontal="center" vertical="center" wrapText="1"/>
    </xf>
    <xf numFmtId="41" fontId="2" fillId="5" borderId="3" xfId="50" applyNumberFormat="1" applyFont="1" applyFill="1" applyBorder="1" applyAlignment="1">
      <alignment vertical="top" wrapText="1"/>
    </xf>
    <xf numFmtId="0" fontId="50" fillId="2" borderId="3" xfId="21" applyFont="1" applyFill="1" applyBorder="1"/>
    <xf numFmtId="0" fontId="50" fillId="2" borderId="3" xfId="21" applyFont="1" applyFill="1" applyBorder="1" applyAlignment="1">
      <alignment horizontal="center" vertical="top" wrapText="1"/>
    </xf>
    <xf numFmtId="0" fontId="50" fillId="2" borderId="3" xfId="21" quotePrefix="1" applyFont="1" applyFill="1" applyBorder="1" applyAlignment="1">
      <alignment horizontal="center" vertical="top" wrapText="1"/>
    </xf>
    <xf numFmtId="0" fontId="50" fillId="2" borderId="3" xfId="21" applyFont="1" applyFill="1" applyBorder="1" applyAlignment="1">
      <alignment vertical="top" wrapText="1"/>
    </xf>
    <xf numFmtId="41" fontId="50" fillId="2" borderId="3" xfId="50" applyNumberFormat="1" applyFont="1" applyFill="1" applyBorder="1" applyAlignment="1">
      <alignment vertical="top" wrapText="1"/>
    </xf>
    <xf numFmtId="41" fontId="50" fillId="2" borderId="3" xfId="50" applyNumberFormat="1" applyFont="1" applyFill="1" applyBorder="1" applyAlignment="1">
      <alignment horizontal="center" vertical="top" wrapText="1"/>
    </xf>
    <xf numFmtId="0" fontId="48" fillId="0" borderId="3" xfId="21" applyFont="1" applyBorder="1"/>
    <xf numFmtId="0" fontId="48" fillId="0" borderId="3" xfId="21" applyFont="1" applyBorder="1" applyAlignment="1">
      <alignment horizontal="center" vertical="top" wrapText="1"/>
    </xf>
    <xf numFmtId="0" fontId="48" fillId="0" borderId="3" xfId="21" quotePrefix="1" applyFont="1" applyBorder="1" applyAlignment="1">
      <alignment horizontal="center" vertical="top" wrapText="1"/>
    </xf>
    <xf numFmtId="0" fontId="48" fillId="0" borderId="3" xfId="21" applyFont="1" applyBorder="1" applyAlignment="1">
      <alignment vertical="top" wrapText="1"/>
    </xf>
    <xf numFmtId="41" fontId="48" fillId="0" borderId="3" xfId="50" applyNumberFormat="1" applyFont="1" applyBorder="1" applyAlignment="1">
      <alignment vertical="top" wrapText="1"/>
    </xf>
    <xf numFmtId="41" fontId="48" fillId="0" borderId="3" xfId="50" applyNumberFormat="1" applyFont="1" applyBorder="1" applyAlignment="1">
      <alignment horizontal="center" vertical="top" wrapText="1"/>
    </xf>
    <xf numFmtId="0" fontId="48" fillId="0" borderId="0" xfId="21" applyFont="1"/>
    <xf numFmtId="0" fontId="48" fillId="4" borderId="3" xfId="21" applyFont="1" applyFill="1" applyBorder="1"/>
    <xf numFmtId="0" fontId="48" fillId="4" borderId="3" xfId="21" applyFont="1" applyFill="1" applyBorder="1" applyAlignment="1">
      <alignment horizontal="center" vertical="top" wrapText="1"/>
    </xf>
    <xf numFmtId="0" fontId="48" fillId="4" borderId="3" xfId="21" quotePrefix="1" applyFont="1" applyFill="1" applyBorder="1" applyAlignment="1">
      <alignment horizontal="center" vertical="top" wrapText="1"/>
    </xf>
    <xf numFmtId="0" fontId="48" fillId="4" borderId="3" xfId="21" applyFont="1" applyFill="1" applyBorder="1" applyAlignment="1">
      <alignment vertical="top" wrapText="1"/>
    </xf>
    <xf numFmtId="41" fontId="48" fillId="4" borderId="3" xfId="50" applyNumberFormat="1" applyFont="1" applyFill="1" applyBorder="1" applyAlignment="1">
      <alignment vertical="top" wrapText="1"/>
    </xf>
    <xf numFmtId="41" fontId="48" fillId="4" borderId="3" xfId="50" applyNumberFormat="1" applyFont="1" applyFill="1" applyBorder="1" applyAlignment="1">
      <alignment horizontal="center" vertical="top" wrapText="1"/>
    </xf>
    <xf numFmtId="0" fontId="48" fillId="4" borderId="0" xfId="21" applyFont="1" applyFill="1"/>
    <xf numFmtId="41" fontId="50" fillId="2" borderId="3" xfId="50" applyNumberFormat="1" applyFont="1" applyFill="1" applyBorder="1" applyAlignment="1">
      <alignment horizontal="center" wrapText="1"/>
    </xf>
    <xf numFmtId="41" fontId="41" fillId="2" borderId="3" xfId="50" applyNumberFormat="1" applyFont="1" applyFill="1" applyBorder="1" applyAlignment="1">
      <alignment vertical="top" wrapText="1"/>
    </xf>
    <xf numFmtId="41" fontId="52" fillId="0" borderId="3" xfId="50" applyNumberFormat="1" applyFont="1" applyBorder="1" applyAlignment="1">
      <alignment vertical="top" wrapText="1"/>
    </xf>
    <xf numFmtId="41" fontId="48" fillId="0" borderId="3" xfId="50" applyNumberFormat="1" applyFont="1" applyBorder="1" applyAlignment="1">
      <alignment horizontal="center" wrapText="1"/>
    </xf>
    <xf numFmtId="41" fontId="48" fillId="4" borderId="3" xfId="50" applyNumberFormat="1" applyFont="1" applyFill="1" applyBorder="1" applyAlignment="1">
      <alignment horizontal="center" wrapText="1"/>
    </xf>
    <xf numFmtId="0" fontId="48" fillId="0" borderId="3" xfId="7" applyFont="1" applyBorder="1" applyAlignment="1">
      <alignment horizontal="center" vertical="top"/>
    </xf>
    <xf numFmtId="0" fontId="48" fillId="0" borderId="3" xfId="7" quotePrefix="1" applyFont="1" applyBorder="1" applyAlignment="1">
      <alignment horizontal="center" vertical="top"/>
    </xf>
    <xf numFmtId="0" fontId="48" fillId="0" borderId="3" xfId="24" applyFont="1" applyBorder="1" applyAlignment="1">
      <alignment horizontal="left" vertical="top" wrapText="1"/>
    </xf>
    <xf numFmtId="0" fontId="48" fillId="0" borderId="3" xfId="24" applyFont="1" applyBorder="1" applyAlignment="1">
      <alignment vertical="top" wrapText="1"/>
    </xf>
    <xf numFmtId="0" fontId="47" fillId="2" borderId="3" xfId="21" applyFont="1" applyFill="1" applyBorder="1" applyAlignment="1"/>
    <xf numFmtId="0" fontId="47" fillId="2" borderId="3" xfId="21" applyFont="1" applyFill="1" applyBorder="1" applyAlignment="1">
      <alignment horizontal="center" vertical="top"/>
    </xf>
    <xf numFmtId="0" fontId="47" fillId="2" borderId="3" xfId="21" quotePrefix="1" applyFont="1" applyFill="1" applyBorder="1" applyAlignment="1">
      <alignment horizontal="center" vertical="top"/>
    </xf>
    <xf numFmtId="0" fontId="50" fillId="2" borderId="3" xfId="21" quotePrefix="1" applyFont="1" applyFill="1" applyBorder="1" applyAlignment="1">
      <alignment horizontal="center" vertical="top"/>
    </xf>
    <xf numFmtId="0" fontId="47" fillId="2" borderId="3" xfId="7" applyFont="1" applyFill="1" applyBorder="1" applyAlignment="1">
      <alignment vertical="top" wrapText="1"/>
    </xf>
    <xf numFmtId="41" fontId="47" fillId="2" borderId="3" xfId="50" applyNumberFormat="1" applyFont="1" applyFill="1" applyBorder="1" applyAlignment="1">
      <alignment vertical="top"/>
    </xf>
    <xf numFmtId="41" fontId="47" fillId="2" borderId="3" xfId="50" applyNumberFormat="1" applyFont="1" applyFill="1" applyBorder="1" applyAlignment="1">
      <alignment horizontal="center" vertical="top"/>
    </xf>
    <xf numFmtId="0" fontId="47" fillId="0" borderId="0" xfId="21" applyFont="1" applyAlignment="1"/>
    <xf numFmtId="0" fontId="48" fillId="0" borderId="3" xfId="24" applyFont="1" applyBorder="1" applyAlignment="1">
      <alignment horizontal="center" vertical="top"/>
    </xf>
    <xf numFmtId="0" fontId="48" fillId="0" borderId="3" xfId="24" quotePrefix="1" applyFont="1" applyBorder="1" applyAlignment="1">
      <alignment horizontal="center" vertical="top"/>
    </xf>
    <xf numFmtId="0" fontId="48" fillId="0" borderId="3" xfId="24" applyFont="1" applyBorder="1" applyAlignment="1">
      <alignment vertical="top"/>
    </xf>
    <xf numFmtId="0" fontId="47" fillId="2" borderId="3" xfId="21" applyFont="1" applyFill="1" applyBorder="1"/>
    <xf numFmtId="0" fontId="49" fillId="2" borderId="3" xfId="21" applyFont="1" applyFill="1" applyBorder="1" applyAlignment="1">
      <alignment horizontal="center" vertical="top" wrapText="1"/>
    </xf>
    <xf numFmtId="0" fontId="47" fillId="2" borderId="3" xfId="24" applyFont="1" applyFill="1" applyBorder="1" applyAlignment="1">
      <alignment horizontal="center" vertical="top"/>
    </xf>
    <xf numFmtId="0" fontId="47" fillId="2" borderId="3" xfId="7" quotePrefix="1" applyFont="1" applyFill="1" applyBorder="1" applyAlignment="1">
      <alignment horizontal="center" vertical="top"/>
    </xf>
    <xf numFmtId="0" fontId="47" fillId="2" borderId="3" xfId="24" quotePrefix="1" applyFont="1" applyFill="1" applyBorder="1" applyAlignment="1">
      <alignment horizontal="center" vertical="top"/>
    </xf>
    <xf numFmtId="0" fontId="47" fillId="2" borderId="3" xfId="7" applyFont="1" applyFill="1" applyBorder="1" applyAlignment="1">
      <alignment vertical="top"/>
    </xf>
    <xf numFmtId="0" fontId="49" fillId="4" borderId="3" xfId="21" applyFont="1" applyFill="1" applyBorder="1" applyAlignment="1">
      <alignment horizontal="center" vertical="top" wrapText="1"/>
    </xf>
    <xf numFmtId="0" fontId="48" fillId="4" borderId="3" xfId="7" quotePrefix="1" applyFont="1" applyFill="1" applyBorder="1" applyAlignment="1">
      <alignment horizontal="center" vertical="top"/>
    </xf>
    <xf numFmtId="0" fontId="48" fillId="4" borderId="3" xfId="24" applyFont="1" applyFill="1" applyBorder="1" applyAlignment="1">
      <alignment vertical="top" wrapText="1"/>
    </xf>
    <xf numFmtId="0" fontId="49" fillId="5" borderId="3" xfId="21" applyFont="1" applyFill="1" applyBorder="1" applyAlignment="1">
      <alignment horizontal="center" vertical="top" wrapText="1"/>
    </xf>
    <xf numFmtId="0" fontId="47" fillId="5" borderId="3" xfId="21" quotePrefix="1" applyFont="1" applyFill="1" applyBorder="1" applyAlignment="1">
      <alignment horizontal="center" vertical="top" wrapText="1"/>
    </xf>
    <xf numFmtId="0" fontId="47" fillId="2" borderId="3" xfId="21" quotePrefix="1" applyFont="1" applyFill="1" applyBorder="1" applyAlignment="1">
      <alignment horizontal="center" vertical="top" wrapText="1"/>
    </xf>
    <xf numFmtId="0" fontId="47" fillId="2" borderId="3" xfId="7" applyFont="1" applyFill="1" applyBorder="1" applyAlignment="1">
      <alignment horizontal="center" vertical="top"/>
    </xf>
    <xf numFmtId="0" fontId="47" fillId="2" borderId="3" xfId="24" applyFont="1" applyFill="1" applyBorder="1" applyAlignment="1">
      <alignment vertical="top"/>
    </xf>
    <xf numFmtId="0" fontId="49" fillId="0" borderId="3" xfId="7" quotePrefix="1" applyFont="1" applyBorder="1" applyAlignment="1">
      <alignment horizontal="center" vertical="top"/>
    </xf>
    <xf numFmtId="0" fontId="48" fillId="4" borderId="3" xfId="7" applyFont="1" applyFill="1" applyBorder="1" applyAlignment="1">
      <alignment horizontal="center" vertical="top"/>
    </xf>
    <xf numFmtId="0" fontId="48" fillId="4" borderId="3" xfId="24" applyFont="1" applyFill="1" applyBorder="1" applyAlignment="1">
      <alignment vertical="top"/>
    </xf>
    <xf numFmtId="0" fontId="48" fillId="0" borderId="3" xfId="24" applyFont="1" applyFill="1" applyBorder="1" applyAlignment="1">
      <alignment vertical="top"/>
    </xf>
    <xf numFmtId="0" fontId="47" fillId="2" borderId="3" xfId="21" applyFont="1" applyFill="1" applyBorder="1" applyAlignment="1">
      <alignment horizontal="left"/>
    </xf>
    <xf numFmtId="0" fontId="50" fillId="2" borderId="3" xfId="24" applyFont="1" applyFill="1" applyBorder="1" applyAlignment="1">
      <alignment vertical="top"/>
    </xf>
    <xf numFmtId="41" fontId="47" fillId="2" borderId="3" xfId="50" applyNumberFormat="1" applyFont="1" applyFill="1" applyBorder="1" applyAlignment="1">
      <alignment horizontal="right" vertical="top" wrapText="1"/>
    </xf>
    <xf numFmtId="0" fontId="47" fillId="0" borderId="0" xfId="21" applyFont="1" applyAlignment="1">
      <alignment horizontal="left"/>
    </xf>
    <xf numFmtId="0" fontId="49" fillId="0" borderId="3" xfId="21" applyFont="1" applyBorder="1" applyAlignment="1">
      <alignment horizontal="left"/>
    </xf>
    <xf numFmtId="0" fontId="49" fillId="0" borderId="3" xfId="21" quotePrefix="1" applyFont="1" applyBorder="1" applyAlignment="1">
      <alignment horizontal="center" vertical="top" wrapText="1"/>
    </xf>
    <xf numFmtId="41" fontId="48" fillId="0" borderId="3" xfId="50" applyNumberFormat="1" applyFont="1" applyBorder="1" applyAlignment="1">
      <alignment horizontal="right" vertical="top" wrapText="1"/>
    </xf>
    <xf numFmtId="41" fontId="49" fillId="0" borderId="3" xfId="50" applyNumberFormat="1" applyFont="1" applyBorder="1" applyAlignment="1">
      <alignment horizontal="right" vertical="top" wrapText="1"/>
    </xf>
    <xf numFmtId="0" fontId="49" fillId="0" borderId="0" xfId="21" applyFont="1" applyAlignment="1">
      <alignment horizontal="left"/>
    </xf>
    <xf numFmtId="41" fontId="49" fillId="0" borderId="3" xfId="50" applyNumberFormat="1" applyFont="1" applyBorder="1" applyAlignment="1">
      <alignment horizontal="left" vertical="top" wrapText="1"/>
    </xf>
    <xf numFmtId="0" fontId="48" fillId="0" borderId="3" xfId="21" applyFont="1" applyBorder="1" applyAlignment="1">
      <alignment horizontal="left" vertical="center"/>
    </xf>
    <xf numFmtId="0" fontId="50" fillId="3" borderId="3" xfId="21" applyFont="1" applyFill="1" applyBorder="1"/>
    <xf numFmtId="0" fontId="49" fillId="0" borderId="3" xfId="7" applyFont="1" applyBorder="1" applyAlignment="1">
      <alignment horizontal="center" vertical="top"/>
    </xf>
    <xf numFmtId="41" fontId="49" fillId="0" borderId="3" xfId="50" applyNumberFormat="1" applyFont="1" applyBorder="1" applyAlignment="1">
      <alignment horizontal="center" vertical="top" wrapText="1"/>
    </xf>
    <xf numFmtId="0" fontId="47" fillId="2" borderId="3" xfId="24" applyFont="1" applyFill="1" applyBorder="1" applyAlignment="1">
      <alignment horizontal="left" vertical="top" wrapText="1"/>
    </xf>
    <xf numFmtId="0" fontId="49" fillId="4" borderId="3" xfId="21" applyFont="1" applyFill="1" applyBorder="1"/>
    <xf numFmtId="0" fontId="49" fillId="4" borderId="3" xfId="21" quotePrefix="1" applyFont="1" applyFill="1" applyBorder="1" applyAlignment="1">
      <alignment horizontal="center" vertical="top" wrapText="1"/>
    </xf>
    <xf numFmtId="0" fontId="49" fillId="4" borderId="3" xfId="7" quotePrefix="1" applyFont="1" applyFill="1" applyBorder="1" applyAlignment="1">
      <alignment horizontal="center" vertical="top"/>
    </xf>
    <xf numFmtId="41" fontId="49" fillId="4" borderId="3" xfId="50" applyNumberFormat="1" applyFont="1" applyFill="1" applyBorder="1" applyAlignment="1">
      <alignment vertical="top" wrapText="1"/>
    </xf>
    <xf numFmtId="41" fontId="49" fillId="4" borderId="3" xfId="50" applyNumberFormat="1" applyFont="1" applyFill="1" applyBorder="1" applyAlignment="1">
      <alignment horizontal="center" vertical="top" wrapText="1"/>
    </xf>
    <xf numFmtId="0" fontId="49" fillId="4" borderId="0" xfId="21" applyFont="1" applyFill="1"/>
    <xf numFmtId="41" fontId="47" fillId="2" borderId="3" xfId="50" applyNumberFormat="1" applyFont="1" applyFill="1" applyBorder="1" applyAlignment="1">
      <alignment horizontal="center" vertical="center" wrapText="1"/>
    </xf>
    <xf numFmtId="0" fontId="50" fillId="2" borderId="3" xfId="24" applyFont="1" applyFill="1" applyBorder="1" applyAlignment="1">
      <alignment horizontal="left" vertical="top" wrapText="1"/>
    </xf>
    <xf numFmtId="41" fontId="2" fillId="2" borderId="3" xfId="50" applyNumberFormat="1" applyFont="1" applyFill="1" applyBorder="1" applyAlignment="1">
      <alignment vertical="top" wrapText="1"/>
    </xf>
    <xf numFmtId="41" fontId="47" fillId="5" borderId="3" xfId="50" applyNumberFormat="1" applyFont="1" applyFill="1" applyBorder="1" applyAlignment="1">
      <alignment horizontal="center" vertical="top" wrapText="1"/>
    </xf>
    <xf numFmtId="0" fontId="47" fillId="0" borderId="3" xfId="21" applyFont="1" applyBorder="1"/>
    <xf numFmtId="0" fontId="47" fillId="0" borderId="3" xfId="21" quotePrefix="1" applyFont="1" applyBorder="1" applyAlignment="1">
      <alignment horizontal="center" vertical="top" wrapText="1"/>
    </xf>
    <xf numFmtId="0" fontId="50" fillId="0" borderId="3" xfId="21" applyFont="1" applyBorder="1"/>
    <xf numFmtId="0" fontId="50" fillId="0" borderId="3" xfId="21" quotePrefix="1" applyFont="1" applyBorder="1" applyAlignment="1">
      <alignment horizontal="center" vertical="top" wrapText="1"/>
    </xf>
    <xf numFmtId="41" fontId="50" fillId="0" borderId="3" xfId="50" applyNumberFormat="1" applyFont="1" applyBorder="1" applyAlignment="1">
      <alignment vertical="top" wrapText="1"/>
    </xf>
    <xf numFmtId="41" fontId="50" fillId="0" borderId="3" xfId="50" applyNumberFormat="1" applyFont="1" applyBorder="1" applyAlignment="1">
      <alignment horizontal="center" vertical="top" wrapText="1"/>
    </xf>
    <xf numFmtId="0" fontId="53" fillId="0" borderId="3" xfId="21" applyFont="1" applyBorder="1" applyAlignment="1">
      <alignment horizontal="center" vertical="top" wrapText="1"/>
    </xf>
    <xf numFmtId="0" fontId="53" fillId="0" borderId="3" xfId="21" quotePrefix="1" applyFont="1" applyBorder="1" applyAlignment="1">
      <alignment horizontal="center" vertical="top" wrapText="1"/>
    </xf>
    <xf numFmtId="0" fontId="53" fillId="0" borderId="3" xfId="21" applyFont="1" applyBorder="1" applyAlignment="1">
      <alignment horizontal="right" vertical="top" wrapText="1"/>
    </xf>
    <xf numFmtId="0" fontId="53" fillId="0" borderId="3" xfId="21" applyFont="1" applyBorder="1" applyAlignment="1">
      <alignment vertical="top" wrapText="1"/>
    </xf>
    <xf numFmtId="41" fontId="54" fillId="0" borderId="3" xfId="50" applyNumberFormat="1" applyFont="1" applyBorder="1" applyAlignment="1">
      <alignment vertical="top" wrapText="1"/>
    </xf>
    <xf numFmtId="41" fontId="54" fillId="0" borderId="3" xfId="21" applyNumberFormat="1" applyFont="1" applyBorder="1"/>
    <xf numFmtId="41" fontId="55" fillId="0" borderId="3" xfId="50" applyNumberFormat="1" applyFont="1" applyBorder="1" applyAlignment="1">
      <alignment vertical="top" wrapText="1"/>
    </xf>
    <xf numFmtId="0" fontId="47" fillId="0" borderId="3" xfId="21" applyFont="1" applyBorder="1" applyAlignment="1">
      <alignment horizontal="left" vertical="top"/>
    </xf>
    <xf numFmtId="0" fontId="49" fillId="0" borderId="3" xfId="21" applyFont="1" applyBorder="1" applyAlignment="1">
      <alignment horizontal="left" vertical="top"/>
    </xf>
    <xf numFmtId="0" fontId="49" fillId="0" borderId="0" xfId="21" quotePrefix="1" applyFont="1" applyAlignment="1">
      <alignment horizontal="left" vertical="top" wrapText="1"/>
    </xf>
    <xf numFmtId="0" fontId="49" fillId="0" borderId="0" xfId="21" applyFont="1" applyAlignment="1">
      <alignment horizontal="left" vertical="top" wrapText="1"/>
    </xf>
    <xf numFmtId="0" fontId="49" fillId="0" borderId="0" xfId="21" applyFont="1" applyAlignment="1">
      <alignment horizontal="right" vertical="top" wrapText="1"/>
    </xf>
    <xf numFmtId="43" fontId="49" fillId="0" borderId="0" xfId="50" applyFont="1" applyAlignment="1">
      <alignment horizontal="left" vertical="top" wrapText="1"/>
    </xf>
    <xf numFmtId="0" fontId="49" fillId="0" borderId="0" xfId="21" applyFont="1" applyAlignment="1">
      <alignment horizontal="center" vertical="top" wrapText="1"/>
    </xf>
    <xf numFmtId="0" fontId="49" fillId="0" borderId="0" xfId="21" applyFont="1" applyAlignment="1">
      <alignment horizontal="center" vertical="top" wrapText="1"/>
    </xf>
    <xf numFmtId="43" fontId="49" fillId="0" borderId="0" xfId="50" applyFont="1" applyAlignment="1">
      <alignment horizontal="center" vertical="top" wrapText="1"/>
    </xf>
    <xf numFmtId="43" fontId="47" fillId="0" borderId="0" xfId="50" applyFont="1" applyAlignment="1">
      <alignment horizontal="center" vertical="top" wrapText="1"/>
    </xf>
    <xf numFmtId="0" fontId="47" fillId="0" borderId="0" xfId="21" applyFont="1" applyAlignment="1">
      <alignment horizontal="center" vertical="top" wrapText="1"/>
    </xf>
    <xf numFmtId="0" fontId="47" fillId="4" borderId="0" xfId="21" applyFont="1" applyFill="1"/>
    <xf numFmtId="43" fontId="3" fillId="0" borderId="0" xfId="50" applyFont="1"/>
    <xf numFmtId="41" fontId="48" fillId="8" borderId="3" xfId="50" applyNumberFormat="1" applyFont="1" applyFill="1" applyBorder="1" applyAlignment="1">
      <alignment vertical="top" wrapText="1"/>
    </xf>
    <xf numFmtId="41" fontId="49" fillId="8" borderId="3" xfId="50" applyNumberFormat="1" applyFont="1" applyFill="1" applyBorder="1" applyAlignment="1">
      <alignment vertical="top" wrapText="1"/>
    </xf>
    <xf numFmtId="0" fontId="49" fillId="0" borderId="0" xfId="21" applyFont="1" applyAlignment="1">
      <alignment horizontal="center" vertical="top" wrapText="1"/>
    </xf>
    <xf numFmtId="0" fontId="47" fillId="2" borderId="3" xfId="7" applyFont="1" applyFill="1" applyBorder="1" applyAlignment="1">
      <alignment horizontal="center" vertical="top" wrapText="1"/>
    </xf>
    <xf numFmtId="0" fontId="47" fillId="2" borderId="3" xfId="24" applyFont="1" applyFill="1" applyBorder="1" applyAlignment="1">
      <alignment horizontal="center" vertical="top" wrapText="1"/>
    </xf>
    <xf numFmtId="0" fontId="47" fillId="0" borderId="3" xfId="21" applyFont="1" applyBorder="1" applyAlignment="1">
      <alignment horizontal="center" vertical="top"/>
    </xf>
    <xf numFmtId="0" fontId="49" fillId="0" borderId="3" xfId="21" applyFont="1" applyBorder="1" applyAlignment="1">
      <alignment horizontal="center" vertical="top"/>
    </xf>
    <xf numFmtId="0" fontId="49" fillId="4" borderId="0" xfId="21" applyFont="1" applyFill="1" applyAlignment="1">
      <alignment horizontal="center"/>
    </xf>
    <xf numFmtId="0" fontId="47" fillId="4" borderId="0" xfId="21" applyFont="1" applyFill="1" applyAlignment="1">
      <alignment horizontal="center"/>
    </xf>
    <xf numFmtId="0" fontId="49" fillId="6" borderId="3" xfId="21" applyFont="1" applyFill="1" applyBorder="1" applyAlignment="1">
      <alignment horizontal="center" vertical="center"/>
    </xf>
    <xf numFmtId="0" fontId="49" fillId="0" borderId="3" xfId="24" applyFont="1" applyBorder="1" applyAlignment="1">
      <alignment horizontal="center" vertical="top" wrapText="1"/>
    </xf>
    <xf numFmtId="0" fontId="49" fillId="0" borderId="3" xfId="24" applyFont="1" applyBorder="1" applyAlignment="1">
      <alignment horizontal="center" vertical="top"/>
    </xf>
    <xf numFmtId="0" fontId="49" fillId="4" borderId="3" xfId="24" applyFont="1" applyFill="1" applyBorder="1" applyAlignment="1">
      <alignment horizontal="center" vertical="top"/>
    </xf>
    <xf numFmtId="41" fontId="3" fillId="0" borderId="0" xfId="21" applyNumberFormat="1" applyFont="1" applyAlignment="1">
      <alignment horizontal="center"/>
    </xf>
    <xf numFmtId="0" fontId="58" fillId="0" borderId="0" xfId="21" applyFont="1" applyAlignment="1">
      <alignment horizontal="left"/>
    </xf>
    <xf numFmtId="41" fontId="58" fillId="0" borderId="0" xfId="21" applyNumberFormat="1" applyFont="1" applyAlignment="1">
      <alignment horizontal="left"/>
    </xf>
    <xf numFmtId="0" fontId="60" fillId="0" borderId="0" xfId="21" applyFont="1"/>
    <xf numFmtId="0" fontId="60" fillId="0" borderId="0" xfId="21" applyFont="1" applyAlignment="1">
      <alignment vertical="center"/>
    </xf>
    <xf numFmtId="0" fontId="58" fillId="0" borderId="0" xfId="21" applyFont="1"/>
    <xf numFmtId="0" fontId="58" fillId="0" borderId="3" xfId="21" applyFont="1" applyBorder="1"/>
    <xf numFmtId="0" fontId="61" fillId="0" borderId="0" xfId="21" applyFont="1"/>
    <xf numFmtId="0" fontId="59" fillId="0" borderId="0" xfId="21" applyFont="1"/>
    <xf numFmtId="0" fontId="58" fillId="4" borderId="3" xfId="21" applyFont="1" applyFill="1" applyBorder="1"/>
    <xf numFmtId="0" fontId="58" fillId="4" borderId="3" xfId="21" quotePrefix="1" applyFont="1" applyFill="1" applyBorder="1" applyAlignment="1">
      <alignment horizontal="center" vertical="top" wrapText="1"/>
    </xf>
    <xf numFmtId="0" fontId="58" fillId="4" borderId="3" xfId="21" applyFont="1" applyFill="1" applyBorder="1" applyAlignment="1">
      <alignment vertical="top" wrapText="1"/>
    </xf>
    <xf numFmtId="41" fontId="58" fillId="4" borderId="3" xfId="50" applyNumberFormat="1" applyFont="1" applyFill="1" applyBorder="1" applyAlignment="1">
      <alignment vertical="top" wrapText="1"/>
    </xf>
    <xf numFmtId="41" fontId="58" fillId="4" borderId="3" xfId="50" applyNumberFormat="1" applyFont="1" applyFill="1" applyBorder="1" applyAlignment="1">
      <alignment horizontal="center" vertical="top" wrapText="1"/>
    </xf>
    <xf numFmtId="41" fontId="59" fillId="4" borderId="3" xfId="50" applyNumberFormat="1" applyFont="1" applyFill="1" applyBorder="1" applyAlignment="1">
      <alignment vertical="top" wrapText="1"/>
    </xf>
    <xf numFmtId="0" fontId="59" fillId="4" borderId="0" xfId="21" applyFont="1" applyFill="1"/>
    <xf numFmtId="41" fontId="58" fillId="4" borderId="3" xfId="50" applyNumberFormat="1" applyFont="1" applyFill="1" applyBorder="1" applyAlignment="1">
      <alignment horizontal="center" wrapText="1"/>
    </xf>
    <xf numFmtId="0" fontId="60" fillId="0" borderId="0" xfId="21" applyFont="1" applyAlignment="1"/>
    <xf numFmtId="0" fontId="58" fillId="4" borderId="3" xfId="7" quotePrefix="1" applyFont="1" applyFill="1" applyBorder="1" applyAlignment="1">
      <alignment horizontal="center" vertical="top"/>
    </xf>
    <xf numFmtId="0" fontId="60" fillId="0" borderId="0" xfId="21" applyFont="1" applyAlignment="1">
      <alignment horizontal="left"/>
    </xf>
    <xf numFmtId="0" fontId="58" fillId="0" borderId="3" xfId="21" applyFont="1" applyBorder="1" applyAlignment="1">
      <alignment horizontal="left"/>
    </xf>
    <xf numFmtId="0" fontId="58" fillId="4" borderId="3" xfId="24" applyFont="1" applyFill="1" applyBorder="1" applyAlignment="1">
      <alignment vertical="top" wrapText="1"/>
    </xf>
    <xf numFmtId="0" fontId="58" fillId="4" borderId="0" xfId="21" applyFont="1" applyFill="1"/>
    <xf numFmtId="0" fontId="60" fillId="0" borderId="3" xfId="21" applyFont="1" applyBorder="1"/>
    <xf numFmtId="0" fontId="58" fillId="4" borderId="0" xfId="21" applyFont="1" applyFill="1" applyAlignment="1">
      <alignment horizontal="center"/>
    </xf>
    <xf numFmtId="0" fontId="60" fillId="4" borderId="0" xfId="21" applyFont="1" applyFill="1" applyAlignment="1">
      <alignment horizontal="center"/>
    </xf>
    <xf numFmtId="0" fontId="60" fillId="4" borderId="0" xfId="21" applyFont="1" applyFill="1"/>
    <xf numFmtId="41" fontId="59" fillId="4" borderId="4" xfId="50" applyNumberFormat="1" applyFont="1" applyFill="1" applyBorder="1" applyAlignment="1">
      <alignment vertical="top" wrapText="1"/>
    </xf>
    <xf numFmtId="41" fontId="58" fillId="4" borderId="4" xfId="50" applyNumberFormat="1" applyFont="1" applyFill="1" applyBorder="1" applyAlignment="1">
      <alignment vertical="top" wrapText="1"/>
    </xf>
    <xf numFmtId="0" fontId="3" fillId="0" borderId="3" xfId="21" applyFont="1" applyBorder="1"/>
    <xf numFmtId="0" fontId="61" fillId="0" borderId="3" xfId="21" applyFont="1" applyBorder="1"/>
    <xf numFmtId="0" fontId="59" fillId="0" borderId="3" xfId="21" applyFont="1" applyBorder="1"/>
    <xf numFmtId="0" fontId="59" fillId="4" borderId="3" xfId="21" applyFont="1" applyFill="1" applyBorder="1"/>
    <xf numFmtId="0" fontId="60" fillId="0" borderId="3" xfId="21" applyFont="1" applyBorder="1" applyAlignment="1"/>
    <xf numFmtId="0" fontId="60" fillId="0" borderId="3" xfId="21" applyFont="1" applyBorder="1" applyAlignment="1">
      <alignment horizontal="left"/>
    </xf>
    <xf numFmtId="0" fontId="58" fillId="4" borderId="0" xfId="21" applyFont="1" applyFill="1" applyAlignment="1">
      <alignment horizontal="left"/>
    </xf>
    <xf numFmtId="0" fontId="58" fillId="4" borderId="3" xfId="24" applyFont="1" applyFill="1" applyBorder="1" applyAlignment="1">
      <alignment horizontal="center" vertical="top" wrapText="1"/>
    </xf>
    <xf numFmtId="41" fontId="58" fillId="4" borderId="3" xfId="50" applyNumberFormat="1" applyFont="1" applyFill="1" applyBorder="1" applyAlignment="1">
      <alignment horizontal="right" vertical="top" wrapText="1"/>
    </xf>
    <xf numFmtId="0" fontId="46" fillId="4" borderId="0" xfId="21" applyFont="1" applyFill="1" applyAlignment="1"/>
    <xf numFmtId="0" fontId="46" fillId="4" borderId="0" xfId="21" applyFont="1" applyFill="1" applyAlignment="1">
      <alignment horizontal="center"/>
    </xf>
    <xf numFmtId="0" fontId="3" fillId="4" borderId="0" xfId="21" applyFont="1" applyFill="1" applyAlignment="1">
      <alignment horizontal="right"/>
    </xf>
    <xf numFmtId="43" fontId="3" fillId="4" borderId="0" xfId="50" applyFont="1" applyFill="1" applyAlignment="1">
      <alignment horizontal="center"/>
    </xf>
    <xf numFmtId="41" fontId="3" fillId="4" borderId="0" xfId="21" applyNumberFormat="1" applyFont="1" applyFill="1"/>
    <xf numFmtId="41" fontId="3" fillId="4" borderId="0" xfId="21" applyNumberFormat="1" applyFont="1" applyFill="1" applyAlignment="1">
      <alignment horizontal="center"/>
    </xf>
    <xf numFmtId="0" fontId="60" fillId="4" borderId="3" xfId="21" applyFont="1" applyFill="1" applyBorder="1" applyAlignment="1">
      <alignment horizontal="center" vertical="top" wrapText="1"/>
    </xf>
    <xf numFmtId="0" fontId="60" fillId="4" borderId="3" xfId="21" applyFont="1" applyFill="1" applyBorder="1" applyAlignment="1">
      <alignment vertical="top" wrapText="1"/>
    </xf>
    <xf numFmtId="41" fontId="60" fillId="4" borderId="3" xfId="50" applyNumberFormat="1" applyFont="1" applyFill="1" applyBorder="1" applyAlignment="1">
      <alignment vertical="top" wrapText="1"/>
    </xf>
    <xf numFmtId="41" fontId="60" fillId="4" borderId="3" xfId="50" applyNumberFormat="1" applyFont="1" applyFill="1" applyBorder="1" applyAlignment="1">
      <alignment horizontal="center" vertical="top" wrapText="1"/>
    </xf>
    <xf numFmtId="41" fontId="60" fillId="4" borderId="3" xfId="50" applyNumberFormat="1" applyFont="1" applyFill="1" applyBorder="1" applyAlignment="1">
      <alignment horizontal="center" vertical="center" wrapText="1"/>
    </xf>
    <xf numFmtId="41" fontId="60" fillId="4" borderId="4" xfId="50" applyNumberFormat="1" applyFont="1" applyFill="1" applyBorder="1" applyAlignment="1">
      <alignment vertical="top" wrapText="1"/>
    </xf>
    <xf numFmtId="41" fontId="61" fillId="4" borderId="3" xfId="50" applyNumberFormat="1" applyFont="1" applyFill="1" applyBorder="1" applyAlignment="1">
      <alignment vertical="top" wrapText="1"/>
    </xf>
    <xf numFmtId="41" fontId="61" fillId="4" borderId="4" xfId="50" applyNumberFormat="1" applyFont="1" applyFill="1" applyBorder="1" applyAlignment="1">
      <alignment vertical="top" wrapText="1"/>
    </xf>
    <xf numFmtId="0" fontId="58" fillId="4" borderId="3" xfId="21" applyFont="1" applyFill="1" applyBorder="1" applyAlignment="1">
      <alignment horizontal="center" vertical="top" wrapText="1"/>
    </xf>
    <xf numFmtId="0" fontId="60" fillId="4" borderId="3" xfId="21" quotePrefix="1" applyFont="1" applyFill="1" applyBorder="1" applyAlignment="1">
      <alignment horizontal="center" vertical="top" wrapText="1"/>
    </xf>
    <xf numFmtId="41" fontId="60" fillId="4" borderId="3" xfId="50" applyNumberFormat="1" applyFont="1" applyFill="1" applyBorder="1" applyAlignment="1">
      <alignment horizontal="center" wrapText="1"/>
    </xf>
    <xf numFmtId="0" fontId="58" fillId="4" borderId="3" xfId="24" applyFont="1" applyFill="1" applyBorder="1" applyAlignment="1">
      <alignment horizontal="left" vertical="top" wrapText="1"/>
    </xf>
    <xf numFmtId="0" fontId="60" fillId="4" borderId="3" xfId="21" quotePrefix="1" applyFont="1" applyFill="1" applyBorder="1" applyAlignment="1">
      <alignment horizontal="center" vertical="top"/>
    </xf>
    <xf numFmtId="0" fontId="60" fillId="4" borderId="3" xfId="7" applyFont="1" applyFill="1" applyBorder="1" applyAlignment="1">
      <alignment vertical="top" wrapText="1"/>
    </xf>
    <xf numFmtId="0" fontId="60" fillId="4" borderId="3" xfId="7" applyFont="1" applyFill="1" applyBorder="1" applyAlignment="1">
      <alignment horizontal="center" vertical="top" wrapText="1"/>
    </xf>
    <xf numFmtId="41" fontId="60" fillId="4" borderId="3" xfId="50" applyNumberFormat="1" applyFont="1" applyFill="1" applyBorder="1" applyAlignment="1">
      <alignment vertical="top"/>
    </xf>
    <xf numFmtId="41" fontId="60" fillId="4" borderId="3" xfId="50" applyNumberFormat="1" applyFont="1" applyFill="1" applyBorder="1" applyAlignment="1">
      <alignment horizontal="center" vertical="top"/>
    </xf>
    <xf numFmtId="41" fontId="60" fillId="4" borderId="4" xfId="50" applyNumberFormat="1" applyFont="1" applyFill="1" applyBorder="1" applyAlignment="1">
      <alignment vertical="top"/>
    </xf>
    <xf numFmtId="0" fontId="58" fillId="4" borderId="3" xfId="24" applyFont="1" applyFill="1" applyBorder="1" applyAlignment="1">
      <alignment horizontal="center" vertical="top"/>
    </xf>
    <xf numFmtId="0" fontId="58" fillId="4" borderId="3" xfId="24" quotePrefix="1" applyFont="1" applyFill="1" applyBorder="1" applyAlignment="1">
      <alignment horizontal="center" vertical="top"/>
    </xf>
    <xf numFmtId="0" fontId="58" fillId="4" borderId="3" xfId="24" applyFont="1" applyFill="1" applyBorder="1" applyAlignment="1">
      <alignment vertical="top"/>
    </xf>
    <xf numFmtId="0" fontId="60" fillId="4" borderId="3" xfId="24" quotePrefix="1" applyFont="1" applyFill="1" applyBorder="1" applyAlignment="1">
      <alignment horizontal="center" vertical="top"/>
    </xf>
    <xf numFmtId="0" fontId="60" fillId="4" borderId="3" xfId="7" applyFont="1" applyFill="1" applyBorder="1" applyAlignment="1">
      <alignment vertical="top"/>
    </xf>
    <xf numFmtId="0" fontId="60" fillId="4" borderId="3" xfId="7" applyFont="1" applyFill="1" applyBorder="1" applyAlignment="1">
      <alignment horizontal="center" vertical="top"/>
    </xf>
    <xf numFmtId="0" fontId="60" fillId="4" borderId="3" xfId="7" quotePrefix="1" applyFont="1" applyFill="1" applyBorder="1" applyAlignment="1">
      <alignment horizontal="center" vertical="top"/>
    </xf>
    <xf numFmtId="0" fontId="60" fillId="4" borderId="3" xfId="24" applyFont="1" applyFill="1" applyBorder="1" applyAlignment="1">
      <alignment vertical="top"/>
    </xf>
    <xf numFmtId="0" fontId="60" fillId="4" borderId="3" xfId="24" applyFont="1" applyFill="1" applyBorder="1" applyAlignment="1">
      <alignment horizontal="center" vertical="top"/>
    </xf>
    <xf numFmtId="0" fontId="3" fillId="4" borderId="3" xfId="0" applyFont="1" applyFill="1" applyBorder="1" applyAlignment="1" applyProtection="1">
      <alignment horizontal="left" vertical="top"/>
      <protection locked="0"/>
    </xf>
    <xf numFmtId="41" fontId="60" fillId="4" borderId="3" xfId="50" applyNumberFormat="1" applyFont="1" applyFill="1" applyBorder="1" applyAlignment="1">
      <alignment horizontal="right" vertical="top" wrapText="1"/>
    </xf>
    <xf numFmtId="41" fontId="60" fillId="4" borderId="4" xfId="50" applyNumberFormat="1" applyFont="1" applyFill="1" applyBorder="1" applyAlignment="1">
      <alignment horizontal="right" vertical="top" wrapText="1"/>
    </xf>
    <xf numFmtId="41" fontId="58" fillId="4" borderId="4" xfId="50" applyNumberFormat="1" applyFont="1" applyFill="1" applyBorder="1" applyAlignment="1">
      <alignment horizontal="right" vertical="top" wrapText="1"/>
    </xf>
    <xf numFmtId="0" fontId="58" fillId="4" borderId="3" xfId="21" applyFont="1" applyFill="1" applyBorder="1" applyAlignment="1">
      <alignment horizontal="left" vertical="center"/>
    </xf>
    <xf numFmtId="0" fontId="58" fillId="4" borderId="3" xfId="21" applyFont="1" applyFill="1" applyBorder="1" applyAlignment="1">
      <alignment horizontal="center" vertical="center"/>
    </xf>
    <xf numFmtId="0" fontId="60" fillId="4" borderId="3" xfId="24" applyFont="1" applyFill="1" applyBorder="1" applyAlignment="1">
      <alignment horizontal="left" vertical="top" wrapText="1"/>
    </xf>
    <xf numFmtId="0" fontId="60" fillId="4" borderId="3" xfId="24" applyFont="1" applyFill="1" applyBorder="1" applyAlignment="1">
      <alignment horizontal="center" vertical="top" wrapText="1"/>
    </xf>
    <xf numFmtId="0" fontId="58" fillId="4" borderId="3" xfId="21" applyFont="1" applyFill="1" applyBorder="1" applyAlignment="1">
      <alignment horizontal="right" vertical="top" wrapText="1"/>
    </xf>
    <xf numFmtId="41" fontId="58" fillId="4" borderId="3" xfId="21" applyNumberFormat="1" applyFont="1" applyFill="1" applyBorder="1" applyAlignment="1">
      <alignment horizontal="center" vertical="top" wrapText="1"/>
    </xf>
    <xf numFmtId="41" fontId="58" fillId="4" borderId="3" xfId="21" applyNumberFormat="1" applyFont="1" applyFill="1" applyBorder="1"/>
    <xf numFmtId="41" fontId="58" fillId="4" borderId="4" xfId="21" applyNumberFormat="1" applyFont="1" applyFill="1" applyBorder="1"/>
    <xf numFmtId="0" fontId="60" fillId="4" borderId="3" xfId="21" applyFont="1" applyFill="1" applyBorder="1" applyAlignment="1">
      <alignment horizontal="right" vertical="top" wrapText="1"/>
    </xf>
    <xf numFmtId="0" fontId="58" fillId="4" borderId="0" xfId="21" applyFont="1" applyFill="1" applyAlignment="1">
      <alignment horizontal="right" vertical="top" wrapText="1"/>
    </xf>
    <xf numFmtId="0" fontId="58" fillId="4" borderId="0" xfId="21" applyFont="1" applyFill="1" applyAlignment="1">
      <alignment horizontal="left" vertical="top" wrapText="1"/>
    </xf>
    <xf numFmtId="0" fontId="58" fillId="4" borderId="0" xfId="21" applyFont="1" applyFill="1" applyAlignment="1">
      <alignment horizontal="center" vertical="top" wrapText="1"/>
    </xf>
    <xf numFmtId="43" fontId="58" fillId="4" borderId="0" xfId="50" applyFont="1" applyFill="1" applyAlignment="1">
      <alignment horizontal="left" vertical="top" wrapText="1"/>
    </xf>
    <xf numFmtId="43" fontId="58" fillId="4" borderId="0" xfId="50" applyFont="1" applyFill="1" applyAlignment="1">
      <alignment horizontal="center" vertical="top" wrapText="1"/>
    </xf>
    <xf numFmtId="0" fontId="60" fillId="4" borderId="0" xfId="21" applyFont="1" applyFill="1" applyAlignment="1">
      <alignment horizontal="center" vertical="top" wrapText="1"/>
    </xf>
    <xf numFmtId="0" fontId="24" fillId="0" borderId="0" xfId="0" applyFont="1" applyBorder="1" applyAlignment="1"/>
    <xf numFmtId="0" fontId="20" fillId="0" borderId="0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23" fillId="0" borderId="0" xfId="2" applyFont="1" applyBorder="1" applyAlignment="1"/>
    <xf numFmtId="0" fontId="27" fillId="3" borderId="4" xfId="2" applyFont="1" applyFill="1" applyBorder="1" applyAlignment="1">
      <alignment horizontal="left" vertical="center"/>
    </xf>
    <xf numFmtId="0" fontId="27" fillId="3" borderId="5" xfId="2" applyFont="1" applyFill="1" applyBorder="1" applyAlignment="1">
      <alignment horizontal="left" vertical="center"/>
    </xf>
    <xf numFmtId="0" fontId="27" fillId="3" borderId="6" xfId="2" applyFont="1" applyFill="1" applyBorder="1" applyAlignment="1">
      <alignment horizontal="left" vertical="center"/>
    </xf>
    <xf numFmtId="0" fontId="27" fillId="0" borderId="3" xfId="2" applyFont="1" applyBorder="1" applyAlignment="1">
      <alignment horizontal="center" vertical="center" wrapText="1"/>
    </xf>
    <xf numFmtId="0" fontId="27" fillId="4" borderId="9" xfId="2" applyFont="1" applyFill="1" applyBorder="1" applyAlignment="1">
      <alignment horizontal="center" vertical="center" wrapText="1"/>
    </xf>
    <xf numFmtId="0" fontId="27" fillId="4" borderId="13" xfId="2" applyFont="1" applyFill="1" applyBorder="1" applyAlignment="1">
      <alignment horizontal="center" vertical="center" wrapText="1"/>
    </xf>
    <xf numFmtId="0" fontId="27" fillId="4" borderId="12" xfId="2" applyFont="1" applyFill="1" applyBorder="1" applyAlignment="1">
      <alignment horizontal="center" vertical="center" wrapText="1"/>
    </xf>
    <xf numFmtId="165" fontId="27" fillId="4" borderId="3" xfId="1" applyNumberFormat="1" applyFont="1" applyFill="1" applyBorder="1" applyAlignment="1">
      <alignment horizontal="center" vertical="center" wrapText="1"/>
    </xf>
    <xf numFmtId="0" fontId="27" fillId="3" borderId="3" xfId="2" applyFont="1" applyFill="1" applyBorder="1" applyAlignment="1">
      <alignment horizontal="center" vertical="center"/>
    </xf>
    <xf numFmtId="0" fontId="27" fillId="0" borderId="7" xfId="2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7" fillId="0" borderId="11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left" vertical="center"/>
    </xf>
    <xf numFmtId="0" fontId="27" fillId="0" borderId="0" xfId="2" applyFont="1" applyBorder="1" applyAlignment="1">
      <alignment horizontal="left"/>
    </xf>
    <xf numFmtId="0" fontId="26" fillId="3" borderId="4" xfId="2" applyFont="1" applyFill="1" applyBorder="1" applyAlignment="1">
      <alignment horizontal="left" vertical="center"/>
    </xf>
    <xf numFmtId="0" fontId="26" fillId="3" borderId="5" xfId="2" applyFont="1" applyFill="1" applyBorder="1" applyAlignment="1">
      <alignment horizontal="left" vertical="center"/>
    </xf>
    <xf numFmtId="0" fontId="26" fillId="3" borderId="6" xfId="2" applyFont="1" applyFill="1" applyBorder="1" applyAlignment="1">
      <alignment horizontal="left" vertical="center"/>
    </xf>
    <xf numFmtId="0" fontId="26" fillId="3" borderId="4" xfId="2" applyFont="1" applyFill="1" applyBorder="1" applyAlignment="1">
      <alignment horizontal="left" vertical="center" wrapText="1"/>
    </xf>
    <xf numFmtId="0" fontId="26" fillId="3" borderId="5" xfId="2" applyFont="1" applyFill="1" applyBorder="1" applyAlignment="1">
      <alignment horizontal="left" vertical="center" wrapText="1"/>
    </xf>
    <xf numFmtId="0" fontId="26" fillId="3" borderId="6" xfId="2" applyFont="1" applyFill="1" applyBorder="1" applyAlignment="1">
      <alignment horizontal="left" vertical="center" wrapText="1"/>
    </xf>
    <xf numFmtId="0" fontId="27" fillId="5" borderId="4" xfId="2" applyFont="1" applyFill="1" applyBorder="1" applyAlignment="1">
      <alignment horizontal="left" vertical="center"/>
    </xf>
    <xf numFmtId="0" fontId="27" fillId="5" borderId="5" xfId="2" applyFont="1" applyFill="1" applyBorder="1" applyAlignment="1">
      <alignment horizontal="left" vertical="center"/>
    </xf>
    <xf numFmtId="0" fontId="27" fillId="5" borderId="6" xfId="2" applyFont="1" applyFill="1" applyBorder="1" applyAlignment="1">
      <alignment horizontal="left" vertical="center"/>
    </xf>
    <xf numFmtId="0" fontId="26" fillId="0" borderId="0" xfId="7" applyFont="1" applyBorder="1" applyAlignment="1">
      <alignment horizontal="center"/>
    </xf>
    <xf numFmtId="0" fontId="26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center" vertical="center"/>
    </xf>
    <xf numFmtId="0" fontId="41" fillId="2" borderId="3" xfId="21" applyFont="1" applyFill="1" applyBorder="1" applyAlignment="1">
      <alignment horizontal="center" vertical="center" wrapText="1"/>
    </xf>
    <xf numFmtId="0" fontId="40" fillId="2" borderId="3" xfId="21" applyFont="1" applyFill="1" applyBorder="1" applyAlignment="1">
      <alignment horizontal="center" vertical="top" wrapText="1"/>
    </xf>
    <xf numFmtId="0" fontId="44" fillId="0" borderId="0" xfId="42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left"/>
    </xf>
    <xf numFmtId="0" fontId="2" fillId="5" borderId="3" xfId="21" applyFont="1" applyFill="1" applyBorder="1" applyAlignment="1">
      <alignment horizontal="center" vertical="center" wrapText="1"/>
    </xf>
    <xf numFmtId="0" fontId="2" fillId="5" borderId="9" xfId="21" applyFont="1" applyFill="1" applyBorder="1" applyAlignment="1">
      <alignment horizontal="center" vertical="center" wrapText="1"/>
    </xf>
    <xf numFmtId="0" fontId="2" fillId="5" borderId="12" xfId="21" applyFont="1" applyFill="1" applyBorder="1" applyAlignment="1">
      <alignment horizontal="center" vertical="center" wrapText="1"/>
    </xf>
    <xf numFmtId="0" fontId="2" fillId="5" borderId="9" xfId="2" applyFont="1" applyFill="1" applyBorder="1" applyAlignment="1">
      <alignment horizontal="center" vertical="center" wrapText="1"/>
    </xf>
    <xf numFmtId="0" fontId="2" fillId="5" borderId="12" xfId="2" applyFont="1" applyFill="1" applyBorder="1" applyAlignment="1">
      <alignment horizontal="center" vertical="center" wrapText="1"/>
    </xf>
    <xf numFmtId="0" fontId="40" fillId="2" borderId="3" xfId="21" applyFont="1" applyFill="1" applyBorder="1" applyAlignment="1">
      <alignment horizontal="center" vertical="center" wrapText="1"/>
    </xf>
    <xf numFmtId="165" fontId="2" fillId="5" borderId="9" xfId="19" applyNumberFormat="1" applyFont="1" applyFill="1" applyBorder="1" applyAlignment="1">
      <alignment horizontal="center" vertical="center" wrapText="1"/>
    </xf>
    <xf numFmtId="165" fontId="2" fillId="5" borderId="12" xfId="19" applyNumberFormat="1" applyFont="1" applyFill="1" applyBorder="1" applyAlignment="1">
      <alignment horizontal="center" vertical="center" wrapText="1"/>
    </xf>
    <xf numFmtId="0" fontId="45" fillId="6" borderId="18" xfId="21" applyFont="1" applyFill="1" applyBorder="1" applyAlignment="1">
      <alignment horizontal="center" vertical="center"/>
    </xf>
    <xf numFmtId="0" fontId="45" fillId="6" borderId="3" xfId="21" applyFont="1" applyFill="1" applyBorder="1" applyAlignment="1">
      <alignment horizontal="center" vertical="center"/>
    </xf>
    <xf numFmtId="0" fontId="2" fillId="5" borderId="20" xfId="21" applyFont="1" applyFill="1" applyBorder="1" applyAlignment="1">
      <alignment horizontal="center" vertical="top" wrapText="1"/>
    </xf>
    <xf numFmtId="0" fontId="2" fillId="5" borderId="21" xfId="21" applyFont="1" applyFill="1" applyBorder="1" applyAlignment="1">
      <alignment horizontal="center" vertical="top" wrapText="1"/>
    </xf>
    <xf numFmtId="0" fontId="2" fillId="5" borderId="22" xfId="21" applyFont="1" applyFill="1" applyBorder="1" applyAlignment="1">
      <alignment horizontal="center" vertical="top" wrapText="1"/>
    </xf>
    <xf numFmtId="43" fontId="3" fillId="0" borderId="0" xfId="50" applyFont="1" applyAlignment="1">
      <alignment horizontal="center" vertical="top" wrapText="1"/>
    </xf>
    <xf numFmtId="43" fontId="2" fillId="0" borderId="0" xfId="50" applyFont="1" applyAlignment="1">
      <alignment horizontal="center"/>
    </xf>
    <xf numFmtId="0" fontId="2" fillId="0" borderId="0" xfId="21" applyFont="1" applyAlignment="1">
      <alignment horizontal="center"/>
    </xf>
    <xf numFmtId="0" fontId="2" fillId="5" borderId="14" xfId="21" applyFont="1" applyFill="1" applyBorder="1" applyAlignment="1">
      <alignment horizontal="center" vertical="center"/>
    </xf>
    <xf numFmtId="0" fontId="2" fillId="5" borderId="15" xfId="21" applyFont="1" applyFill="1" applyBorder="1" applyAlignment="1">
      <alignment horizontal="center" vertical="center"/>
    </xf>
    <xf numFmtId="0" fontId="2" fillId="5" borderId="18" xfId="21" applyFont="1" applyFill="1" applyBorder="1" applyAlignment="1">
      <alignment horizontal="center" vertical="center"/>
    </xf>
    <xf numFmtId="0" fontId="2" fillId="5" borderId="3" xfId="21" applyFont="1" applyFill="1" applyBorder="1" applyAlignment="1">
      <alignment horizontal="center" vertical="center"/>
    </xf>
    <xf numFmtId="43" fontId="2" fillId="5" borderId="16" xfId="50" applyFont="1" applyFill="1" applyBorder="1" applyAlignment="1">
      <alignment horizontal="center" vertical="center" wrapText="1"/>
    </xf>
    <xf numFmtId="43" fontId="2" fillId="5" borderId="13" xfId="50" applyFont="1" applyFill="1" applyBorder="1" applyAlignment="1">
      <alignment horizontal="center" vertical="center" wrapText="1"/>
    </xf>
    <xf numFmtId="43" fontId="2" fillId="5" borderId="12" xfId="50" applyFont="1" applyFill="1" applyBorder="1" applyAlignment="1">
      <alignment horizontal="center" vertical="center" wrapText="1"/>
    </xf>
    <xf numFmtId="0" fontId="2" fillId="5" borderId="17" xfId="21" applyFont="1" applyFill="1" applyBorder="1" applyAlignment="1">
      <alignment horizontal="center" vertical="center"/>
    </xf>
    <xf numFmtId="0" fontId="2" fillId="5" borderId="19" xfId="21" applyFont="1" applyFill="1" applyBorder="1" applyAlignment="1">
      <alignment horizontal="center" vertical="center"/>
    </xf>
    <xf numFmtId="0" fontId="15" fillId="0" borderId="4" xfId="37" applyFont="1" applyFill="1" applyBorder="1" applyAlignment="1" applyProtection="1">
      <alignment horizontal="left" vertical="top" wrapText="1"/>
      <protection locked="0"/>
    </xf>
    <xf numFmtId="0" fontId="15" fillId="0" borderId="5" xfId="37" applyFont="1" applyFill="1" applyBorder="1" applyAlignment="1" applyProtection="1">
      <alignment horizontal="left" vertical="top" wrapText="1"/>
      <protection locked="0"/>
    </xf>
    <xf numFmtId="0" fontId="15" fillId="0" borderId="6" xfId="37" applyFont="1" applyFill="1" applyBorder="1" applyAlignment="1" applyProtection="1">
      <alignment horizontal="left" vertical="top" wrapText="1"/>
      <protection locked="0"/>
    </xf>
    <xf numFmtId="0" fontId="15" fillId="4" borderId="4" xfId="37" applyFont="1" applyFill="1" applyBorder="1" applyAlignment="1" applyProtection="1">
      <alignment horizontal="left" vertical="top" wrapText="1"/>
      <protection locked="0"/>
    </xf>
    <xf numFmtId="0" fontId="15" fillId="4" borderId="5" xfId="37" applyFont="1" applyFill="1" applyBorder="1" applyAlignment="1" applyProtection="1">
      <alignment horizontal="left" vertical="top" wrapText="1"/>
      <protection locked="0"/>
    </xf>
    <xf numFmtId="0" fontId="15" fillId="4" borderId="6" xfId="37" applyFont="1" applyFill="1" applyBorder="1" applyAlignment="1" applyProtection="1">
      <alignment horizontal="left" vertical="top" wrapText="1"/>
      <protection locked="0"/>
    </xf>
    <xf numFmtId="0" fontId="16" fillId="6" borderId="3" xfId="36" applyNumberFormat="1" applyFont="1" applyFill="1" applyBorder="1" applyAlignment="1">
      <alignment horizontal="center" vertical="center"/>
    </xf>
    <xf numFmtId="0" fontId="13" fillId="0" borderId="0" xfId="36" applyNumberFormat="1" applyFont="1" applyAlignment="1">
      <alignment horizontal="center"/>
    </xf>
    <xf numFmtId="0" fontId="16" fillId="0" borderId="0" xfId="36" applyNumberFormat="1" applyFont="1" applyAlignment="1">
      <alignment horizontal="left" vertical="center"/>
    </xf>
    <xf numFmtId="0" fontId="16" fillId="0" borderId="0" xfId="37" applyFont="1" applyAlignment="1">
      <alignment horizontal="left" vertical="center"/>
    </xf>
    <xf numFmtId="0" fontId="16" fillId="0" borderId="3" xfId="37" applyFont="1" applyBorder="1" applyAlignment="1">
      <alignment horizontal="center" vertical="center"/>
    </xf>
    <xf numFmtId="0" fontId="16" fillId="0" borderId="4" xfId="37" applyFont="1" applyFill="1" applyBorder="1" applyAlignment="1" applyProtection="1">
      <alignment horizontal="left" vertical="top" wrapText="1"/>
      <protection locked="0"/>
    </xf>
    <xf numFmtId="0" fontId="16" fillId="0" borderId="5" xfId="37" applyFont="1" applyFill="1" applyBorder="1" applyAlignment="1" applyProtection="1">
      <alignment horizontal="left" vertical="top" wrapText="1"/>
      <protection locked="0"/>
    </xf>
    <xf numFmtId="0" fontId="16" fillId="0" borderId="6" xfId="37" applyFont="1" applyFill="1" applyBorder="1" applyAlignment="1" applyProtection="1">
      <alignment horizontal="left" vertical="top" wrapText="1"/>
      <protection locked="0"/>
    </xf>
    <xf numFmtId="0" fontId="46" fillId="0" borderId="0" xfId="21" applyFont="1" applyAlignment="1">
      <alignment horizontal="center"/>
    </xf>
    <xf numFmtId="0" fontId="47" fillId="5" borderId="3" xfId="21" applyFont="1" applyFill="1" applyBorder="1" applyAlignment="1">
      <alignment horizontal="center" vertical="center"/>
    </xf>
    <xf numFmtId="43" fontId="47" fillId="5" borderId="3" xfId="50" applyFont="1" applyFill="1" applyBorder="1" applyAlignment="1">
      <alignment horizontal="center" vertical="center" wrapText="1"/>
    </xf>
    <xf numFmtId="43" fontId="47" fillId="5" borderId="3" xfId="50" applyFont="1" applyFill="1" applyBorder="1" applyAlignment="1">
      <alignment horizontal="center" vertical="center"/>
    </xf>
    <xf numFmtId="0" fontId="47" fillId="5" borderId="3" xfId="21" applyFont="1" applyFill="1" applyBorder="1" applyAlignment="1">
      <alignment horizontal="center" vertical="center" wrapText="1"/>
    </xf>
    <xf numFmtId="0" fontId="47" fillId="5" borderId="7" xfId="21" applyFont="1" applyFill="1" applyBorder="1" applyAlignment="1">
      <alignment horizontal="center" vertical="center"/>
    </xf>
    <xf numFmtId="0" fontId="47" fillId="5" borderId="25" xfId="21" applyFont="1" applyFill="1" applyBorder="1" applyAlignment="1">
      <alignment horizontal="center" vertical="center"/>
    </xf>
    <xf numFmtId="0" fontId="47" fillId="5" borderId="8" xfId="21" applyFont="1" applyFill="1" applyBorder="1" applyAlignment="1">
      <alignment horizontal="center" vertical="center"/>
    </xf>
    <xf numFmtId="0" fontId="47" fillId="5" borderId="10" xfId="21" applyFont="1" applyFill="1" applyBorder="1" applyAlignment="1">
      <alignment horizontal="center" vertical="center"/>
    </xf>
    <xf numFmtId="0" fontId="47" fillId="5" borderId="26" xfId="21" applyFont="1" applyFill="1" applyBorder="1" applyAlignment="1">
      <alignment horizontal="center" vertical="center"/>
    </xf>
    <xf numFmtId="0" fontId="47" fillId="5" borderId="11" xfId="21" applyFont="1" applyFill="1" applyBorder="1" applyAlignment="1">
      <alignment horizontal="center" vertical="center"/>
    </xf>
    <xf numFmtId="0" fontId="48" fillId="6" borderId="3" xfId="21" applyFont="1" applyFill="1" applyBorder="1" applyAlignment="1">
      <alignment horizontal="center" vertical="center"/>
    </xf>
    <xf numFmtId="0" fontId="49" fillId="4" borderId="0" xfId="21" applyFont="1" applyFill="1" applyAlignment="1">
      <alignment horizontal="left"/>
    </xf>
    <xf numFmtId="0" fontId="49" fillId="0" borderId="0" xfId="21" applyFont="1" applyAlignment="1">
      <alignment horizontal="center" vertical="top" wrapText="1"/>
    </xf>
    <xf numFmtId="0" fontId="47" fillId="4" borderId="0" xfId="21" applyFont="1" applyFill="1" applyAlignment="1">
      <alignment horizontal="left"/>
    </xf>
    <xf numFmtId="0" fontId="47" fillId="5" borderId="9" xfId="21" applyFont="1" applyFill="1" applyBorder="1" applyAlignment="1">
      <alignment horizontal="center" vertical="center" wrapText="1"/>
    </xf>
    <xf numFmtId="0" fontId="47" fillId="5" borderId="12" xfId="21" applyFont="1" applyFill="1" applyBorder="1" applyAlignment="1">
      <alignment horizontal="center" vertical="center" wrapText="1"/>
    </xf>
    <xf numFmtId="0" fontId="47" fillId="5" borderId="9" xfId="21" applyFont="1" applyFill="1" applyBorder="1" applyAlignment="1">
      <alignment horizontal="center" vertical="center"/>
    </xf>
    <xf numFmtId="0" fontId="47" fillId="5" borderId="13" xfId="21" applyFont="1" applyFill="1" applyBorder="1" applyAlignment="1">
      <alignment horizontal="center" vertical="center"/>
    </xf>
    <xf numFmtId="0" fontId="47" fillId="5" borderId="12" xfId="21" applyFont="1" applyFill="1" applyBorder="1" applyAlignment="1">
      <alignment horizontal="center" vertical="center"/>
    </xf>
    <xf numFmtId="43" fontId="47" fillId="5" borderId="9" xfId="50" applyFont="1" applyFill="1" applyBorder="1" applyAlignment="1">
      <alignment horizontal="center" vertical="center" wrapText="1"/>
    </xf>
    <xf numFmtId="43" fontId="47" fillId="5" borderId="13" xfId="50" applyFont="1" applyFill="1" applyBorder="1" applyAlignment="1">
      <alignment horizontal="center" vertical="center" wrapText="1"/>
    </xf>
    <xf numFmtId="43" fontId="47" fillId="5" borderId="12" xfId="50" applyFont="1" applyFill="1" applyBorder="1" applyAlignment="1">
      <alignment horizontal="center" vertical="center" wrapText="1"/>
    </xf>
    <xf numFmtId="0" fontId="46" fillId="4" borderId="0" xfId="21" applyFont="1" applyFill="1" applyAlignment="1">
      <alignment horizontal="center"/>
    </xf>
    <xf numFmtId="0" fontId="60" fillId="4" borderId="3" xfId="21" applyFont="1" applyFill="1" applyBorder="1" applyAlignment="1">
      <alignment horizontal="center" vertical="center"/>
    </xf>
    <xf numFmtId="0" fontId="60" fillId="4" borderId="9" xfId="21" applyFont="1" applyFill="1" applyBorder="1" applyAlignment="1">
      <alignment horizontal="center" vertical="center"/>
    </xf>
    <xf numFmtId="0" fontId="60" fillId="4" borderId="13" xfId="21" applyFont="1" applyFill="1" applyBorder="1" applyAlignment="1">
      <alignment horizontal="center" vertical="center"/>
    </xf>
    <xf numFmtId="0" fontId="60" fillId="4" borderId="12" xfId="21" applyFont="1" applyFill="1" applyBorder="1" applyAlignment="1">
      <alignment horizontal="center" vertical="center"/>
    </xf>
    <xf numFmtId="43" fontId="60" fillId="4" borderId="3" xfId="50" applyFont="1" applyFill="1" applyBorder="1" applyAlignment="1">
      <alignment horizontal="center" vertical="center" wrapText="1"/>
    </xf>
    <xf numFmtId="43" fontId="60" fillId="4" borderId="3" xfId="50" applyFont="1" applyFill="1" applyBorder="1" applyAlignment="1">
      <alignment horizontal="center" vertical="center"/>
    </xf>
    <xf numFmtId="43" fontId="60" fillId="4" borderId="9" xfId="50" applyFont="1" applyFill="1" applyBorder="1" applyAlignment="1">
      <alignment horizontal="center" vertical="center" wrapText="1"/>
    </xf>
    <xf numFmtId="43" fontId="60" fillId="4" borderId="13" xfId="50" applyFont="1" applyFill="1" applyBorder="1" applyAlignment="1">
      <alignment horizontal="center" vertical="center" wrapText="1"/>
    </xf>
    <xf numFmtId="43" fontId="60" fillId="4" borderId="12" xfId="50" applyFont="1" applyFill="1" applyBorder="1" applyAlignment="1">
      <alignment horizontal="center" vertical="center" wrapText="1"/>
    </xf>
    <xf numFmtId="0" fontId="60" fillId="4" borderId="3" xfId="21" applyFont="1" applyFill="1" applyBorder="1" applyAlignment="1">
      <alignment horizontal="center" vertical="center" wrapText="1"/>
    </xf>
    <xf numFmtId="0" fontId="60" fillId="4" borderId="7" xfId="21" applyFont="1" applyFill="1" applyBorder="1" applyAlignment="1">
      <alignment horizontal="center" vertical="center"/>
    </xf>
    <xf numFmtId="0" fontId="60" fillId="4" borderId="25" xfId="21" applyFont="1" applyFill="1" applyBorder="1" applyAlignment="1">
      <alignment horizontal="center" vertical="center"/>
    </xf>
    <xf numFmtId="0" fontId="60" fillId="4" borderId="8" xfId="21" applyFont="1" applyFill="1" applyBorder="1" applyAlignment="1">
      <alignment horizontal="center" vertical="center"/>
    </xf>
    <xf numFmtId="0" fontId="60" fillId="4" borderId="10" xfId="21" applyFont="1" applyFill="1" applyBorder="1" applyAlignment="1">
      <alignment horizontal="center" vertical="center"/>
    </xf>
    <xf numFmtId="0" fontId="60" fillId="4" borderId="26" xfId="21" applyFont="1" applyFill="1" applyBorder="1" applyAlignment="1">
      <alignment horizontal="center" vertical="center"/>
    </xf>
    <xf numFmtId="0" fontId="60" fillId="4" borderId="11" xfId="21" applyFont="1" applyFill="1" applyBorder="1" applyAlignment="1">
      <alignment horizontal="center" vertical="center"/>
    </xf>
    <xf numFmtId="0" fontId="60" fillId="4" borderId="9" xfId="21" applyFont="1" applyFill="1" applyBorder="1" applyAlignment="1">
      <alignment horizontal="center" vertical="center" wrapText="1"/>
    </xf>
    <xf numFmtId="0" fontId="60" fillId="4" borderId="12" xfId="21" applyFont="1" applyFill="1" applyBorder="1" applyAlignment="1">
      <alignment horizontal="center" vertical="center" wrapText="1"/>
    </xf>
    <xf numFmtId="0" fontId="60" fillId="4" borderId="4" xfId="21" applyFont="1" applyFill="1" applyBorder="1" applyAlignment="1">
      <alignment horizontal="center" vertical="center"/>
    </xf>
    <xf numFmtId="0" fontId="60" fillId="0" borderId="9" xfId="21" applyFont="1" applyBorder="1" applyAlignment="1">
      <alignment horizontal="center" vertical="center"/>
    </xf>
    <xf numFmtId="0" fontId="60" fillId="0" borderId="13" xfId="21" applyFont="1" applyBorder="1" applyAlignment="1">
      <alignment horizontal="center" vertical="center"/>
    </xf>
    <xf numFmtId="0" fontId="60" fillId="0" borderId="12" xfId="21" applyFont="1" applyBorder="1" applyAlignment="1">
      <alignment horizontal="center" vertical="center"/>
    </xf>
    <xf numFmtId="0" fontId="58" fillId="4" borderId="0" xfId="21" applyFont="1" applyFill="1" applyAlignment="1">
      <alignment horizontal="left"/>
    </xf>
    <xf numFmtId="0" fontId="60" fillId="4" borderId="0" xfId="21" applyFont="1" applyFill="1" applyAlignment="1">
      <alignment horizontal="left"/>
    </xf>
    <xf numFmtId="43" fontId="60" fillId="4" borderId="0" xfId="50" applyFont="1" applyFill="1" applyAlignment="1">
      <alignment horizontal="left" vertical="top" wrapText="1"/>
    </xf>
    <xf numFmtId="0" fontId="58" fillId="4" borderId="0" xfId="21" applyFont="1" applyFill="1" applyAlignment="1">
      <alignment horizontal="center" vertical="top" wrapText="1"/>
    </xf>
    <xf numFmtId="0" fontId="58" fillId="4" borderId="0" xfId="21" applyFont="1" applyFill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vertical="center"/>
    </xf>
    <xf numFmtId="0" fontId="16" fillId="0" borderId="3" xfId="0" applyFont="1" applyFill="1" applyBorder="1" applyAlignment="1" applyProtection="1">
      <alignment horizontal="left" vertical="top"/>
      <protection locked="0"/>
    </xf>
    <xf numFmtId="0" fontId="15" fillId="0" borderId="3" xfId="0" applyFont="1" applyBorder="1"/>
    <xf numFmtId="0" fontId="15" fillId="0" borderId="3" xfId="0" applyFont="1" applyFill="1" applyBorder="1" applyAlignment="1" applyProtection="1">
      <alignment horizontal="left" vertical="top"/>
      <protection locked="0"/>
    </xf>
    <xf numFmtId="0" fontId="15" fillId="0" borderId="4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 applyProtection="1">
      <alignment horizontal="left" vertical="top" wrapText="1"/>
      <protection locked="0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Border="1"/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4" borderId="3" xfId="0" applyFont="1" applyFill="1" applyBorder="1" applyAlignment="1" applyProtection="1">
      <alignment horizontal="left" vertical="top"/>
      <protection locked="0"/>
    </xf>
    <xf numFmtId="0" fontId="15" fillId="4" borderId="3" xfId="0" applyFont="1" applyFill="1" applyBorder="1"/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0" fontId="11" fillId="0" borderId="3" xfId="36" applyNumberFormat="1" applyFont="1" applyFill="1" applyBorder="1" applyAlignment="1" applyProtection="1">
      <alignment horizontal="center" vertical="top"/>
      <protection locked="0"/>
    </xf>
    <xf numFmtId="0" fontId="11" fillId="0" borderId="3" xfId="0" applyFont="1" applyFill="1" applyBorder="1" applyAlignment="1" applyProtection="1">
      <alignment horizontal="left" vertical="top"/>
      <protection locked="0"/>
    </xf>
    <xf numFmtId="0" fontId="11" fillId="0" borderId="3" xfId="0" applyFont="1" applyBorder="1"/>
    <xf numFmtId="0" fontId="3" fillId="0" borderId="3" xfId="36" applyNumberFormat="1" applyFont="1" applyFill="1" applyBorder="1" applyAlignment="1" applyProtection="1">
      <alignment horizontal="center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3" xfId="0" applyFont="1" applyBorder="1"/>
    <xf numFmtId="167" fontId="15" fillId="0" borderId="3" xfId="38" applyNumberFormat="1" applyFont="1" applyBorder="1"/>
    <xf numFmtId="167" fontId="16" fillId="0" borderId="3" xfId="38" applyNumberFormat="1" applyFont="1" applyBorder="1"/>
    <xf numFmtId="0" fontId="15" fillId="0" borderId="4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 applyProtection="1">
      <alignment horizontal="left" vertical="top"/>
      <protection locked="0"/>
    </xf>
    <xf numFmtId="167" fontId="15" fillId="4" borderId="3" xfId="38" applyNumberFormat="1" applyFont="1" applyFill="1" applyBorder="1"/>
    <xf numFmtId="167" fontId="11" fillId="0" borderId="3" xfId="38" applyNumberFormat="1" applyFont="1" applyBorder="1"/>
    <xf numFmtId="167" fontId="3" fillId="0" borderId="3" xfId="38" applyNumberFormat="1" applyFont="1" applyBorder="1"/>
    <xf numFmtId="167" fontId="16" fillId="2" borderId="3" xfId="38" applyNumberFormat="1" applyFont="1" applyFill="1" applyBorder="1" applyAlignment="1">
      <alignment vertical="center"/>
    </xf>
    <xf numFmtId="0" fontId="63" fillId="0" borderId="3" xfId="0" applyFont="1" applyBorder="1"/>
  </cellXfs>
  <cellStyles count="54">
    <cellStyle name="Comma" xfId="1" builtinId="3"/>
    <cellStyle name="Comma [0] 2" xfId="5"/>
    <cellStyle name="Comma [0] 2 2" xfId="8"/>
    <cellStyle name="Comma [0] 2 3" xfId="46"/>
    <cellStyle name="Comma [0] 3" xfId="9"/>
    <cellStyle name="Comma [0] 3 2" xfId="10"/>
    <cellStyle name="Comma [0] 3 3" xfId="47"/>
    <cellStyle name="Comma [0] 3 4" xfId="11"/>
    <cellStyle name="Comma [0] 3 4 2" xfId="12"/>
    <cellStyle name="Comma [0] 4" xfId="4"/>
    <cellStyle name="Comma [0] 4 2" xfId="13"/>
    <cellStyle name="Comma [0] 4 2 2" xfId="51"/>
    <cellStyle name="Comma [0] 4 3" xfId="48"/>
    <cellStyle name="Comma [0] 4 4" xfId="49"/>
    <cellStyle name="Comma [0] 5" xfId="14"/>
    <cellStyle name="Comma [0] 5 2" xfId="40"/>
    <cellStyle name="Comma [0] 6" xfId="38"/>
    <cellStyle name="Comma [0] 7" xfId="44"/>
    <cellStyle name="Comma [0] 8" xfId="15"/>
    <cellStyle name="Comma 2" xfId="16"/>
    <cellStyle name="Comma 3" xfId="17"/>
    <cellStyle name="Comma 4" xfId="18"/>
    <cellStyle name="Comma 5" xfId="19"/>
    <cellStyle name="Comma 6" xfId="36"/>
    <cellStyle name="Comma 6 2" xfId="20"/>
    <cellStyle name="Comma 6 3" xfId="43"/>
    <cellStyle name="Comma 6 3 2" xfId="50"/>
    <cellStyle name="Comma 7" xfId="52"/>
    <cellStyle name="Normal" xfId="0" builtinId="0"/>
    <cellStyle name="Normal 10" xfId="21"/>
    <cellStyle name="Normal 10 2" xfId="22"/>
    <cellStyle name="Normal 10 2 2" xfId="23"/>
    <cellStyle name="Normal 11" xfId="3"/>
    <cellStyle name="Normal 12" xfId="37"/>
    <cellStyle name="Normal 12 2" xfId="39"/>
    <cellStyle name="Normal 12 3" xfId="42"/>
    <cellStyle name="Normal 13" xfId="53"/>
    <cellStyle name="Normal 2" xfId="7"/>
    <cellStyle name="Normal 2 2" xfId="24"/>
    <cellStyle name="Normal 2 3" xfId="25"/>
    <cellStyle name="Normal 2 3 2" xfId="26"/>
    <cellStyle name="Normal 3" xfId="2"/>
    <cellStyle name="Normal 4" xfId="6"/>
    <cellStyle name="Normal 4 2" xfId="27"/>
    <cellStyle name="Normal 4 3" xfId="45"/>
    <cellStyle name="Normal 5" xfId="28"/>
    <cellStyle name="Normal 6" xfId="29"/>
    <cellStyle name="Normal 7" xfId="30"/>
    <cellStyle name="Normal 7 2" xfId="31"/>
    <cellStyle name="Normal 8" xfId="32"/>
    <cellStyle name="Normal 8 2" xfId="33"/>
    <cellStyle name="Normal 9" xfId="34"/>
    <cellStyle name="Percent 2" xfId="35"/>
    <cellStyle name="Percent 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_Rapermen_Pemdes_141007\Form_Rapermen_PPD_Perancanaan_141007\FORM%20PELAKSANAAN%20PEMBANGUNAN%20DESA\Form.25.b.%20Lembar%20Catatan%20Pemeriksaan%20Desa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_Rapermen_Pemdes_141007/Form_Rapermen_PPD_Perancanaan_141007/FORM%20PELAKSANAAN%20PEMBANGUNAN%20DESA/Form.25.b.%20Lembar%20Catatan%20Pemeriksaan%20Des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25.b LEMBAR CATATAN"/>
    </sheetNames>
    <sheetDataSet>
      <sheetData sheetId="0">
        <row r="3">
          <cell r="A3" t="str">
            <v>LEMBAR CATATAN PEMERIKSAAN</v>
          </cell>
        </row>
        <row r="5">
          <cell r="B5" t="str">
            <v xml:space="preserve">Lokasi                    </v>
          </cell>
          <cell r="D5" t="str">
            <v>:</v>
          </cell>
        </row>
        <row r="7">
          <cell r="B7" t="str">
            <v xml:space="preserve">Dibuat oleh        </v>
          </cell>
          <cell r="D7" t="str">
            <v>:</v>
          </cell>
          <cell r="I7" t="str">
            <v>Pemeriksaan ke :</v>
          </cell>
        </row>
        <row r="9">
          <cell r="B9" t="str">
            <v xml:space="preserve">Jabatan           </v>
          </cell>
          <cell r="D9" t="str">
            <v>:</v>
          </cell>
          <cell r="I9" t="str">
            <v>Tanggal diserahkan :</v>
          </cell>
        </row>
        <row r="11">
          <cell r="B11" t="str">
            <v>Jenis Prasarana :</v>
          </cell>
          <cell r="I11" t="str">
            <v>Tanggal diperiksa :</v>
          </cell>
        </row>
        <row r="15">
          <cell r="B15" t="str">
            <v>Hal-hal yang harus diperhatikan/diperbaiki 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25.b LEMBAR CATATAN"/>
    </sheetNames>
    <sheetDataSet>
      <sheetData sheetId="0">
        <row r="3">
          <cell r="A3" t="str">
            <v>LEMBAR CATATAN PEMERIKSAAN</v>
          </cell>
        </row>
        <row r="5">
          <cell r="B5" t="str">
            <v xml:space="preserve">Lokasi                    </v>
          </cell>
          <cell r="D5" t="str">
            <v>:</v>
          </cell>
        </row>
        <row r="7">
          <cell r="B7" t="str">
            <v xml:space="preserve">Dibuat oleh        </v>
          </cell>
          <cell r="D7" t="str">
            <v>:</v>
          </cell>
          <cell r="I7" t="str">
            <v>Pemeriksaan ke :</v>
          </cell>
        </row>
        <row r="9">
          <cell r="B9" t="str">
            <v xml:space="preserve">Jabatan           </v>
          </cell>
          <cell r="D9" t="str">
            <v>:</v>
          </cell>
          <cell r="I9" t="str">
            <v>Tanggal diserahkan :</v>
          </cell>
        </row>
        <row r="11">
          <cell r="B11" t="str">
            <v>Jenis Prasarana :</v>
          </cell>
          <cell r="I11" t="str">
            <v>Tanggal diperiksa :</v>
          </cell>
        </row>
        <row r="15">
          <cell r="B15" t="str">
            <v>Hal-hal yang harus diperhatikan/diperbaiki 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5"/>
  <sheetViews>
    <sheetView topLeftCell="A632" zoomScale="60" zoomScaleNormal="60" zoomScaleSheetLayoutView="40" workbookViewId="0">
      <selection activeCell="G632" sqref="G632"/>
    </sheetView>
  </sheetViews>
  <sheetFormatPr defaultRowHeight="18"/>
  <cols>
    <col min="1" max="1" width="6.5703125" style="211" customWidth="1"/>
    <col min="2" max="2" width="24.7109375" style="212" customWidth="1"/>
    <col min="3" max="3" width="6.7109375" style="212" customWidth="1"/>
    <col min="4" max="4" width="28.7109375" style="212" customWidth="1"/>
    <col min="5" max="5" width="4.7109375" style="88" customWidth="1"/>
    <col min="6" max="6" width="55.7109375" style="116" customWidth="1"/>
    <col min="7" max="7" width="27.7109375" style="86" customWidth="1"/>
    <col min="8" max="8" width="11.42578125" style="87" customWidth="1"/>
    <col min="9" max="9" width="16.28515625" style="88" customWidth="1"/>
    <col min="10" max="10" width="39.7109375" style="213" customWidth="1"/>
    <col min="11" max="11" width="28.42578125" style="170" customWidth="1"/>
    <col min="12" max="12" width="26.28515625" style="170" customWidth="1"/>
    <col min="13" max="13" width="26" style="170" customWidth="1"/>
    <col min="14" max="14" width="26.28515625" style="170" customWidth="1"/>
    <col min="15" max="15" width="25.85546875" style="170" customWidth="1"/>
    <col min="16" max="16" width="25.140625" style="170" customWidth="1"/>
    <col min="17" max="17" width="28.28515625" style="145" customWidth="1"/>
    <col min="18" max="18" width="16.7109375" style="90" customWidth="1"/>
    <col min="19" max="19" width="9.28515625" style="214" customWidth="1"/>
    <col min="20" max="20" width="9.7109375" style="212" customWidth="1"/>
    <col min="21" max="21" width="11.7109375" style="212" customWidth="1"/>
    <col min="22" max="16384" width="9.140625" style="55"/>
  </cols>
  <sheetData>
    <row r="1" spans="1:21" s="32" customFormat="1" ht="35.25">
      <c r="A1" s="669" t="s">
        <v>337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</row>
    <row r="2" spans="1:21" s="32" customFormat="1" ht="35.25">
      <c r="A2" s="669" t="s">
        <v>338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</row>
    <row r="3" spans="1:21" s="32" customFormat="1" ht="27.75">
      <c r="A3" s="670"/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</row>
    <row r="4" spans="1:21" s="33" customFormat="1" ht="27.75">
      <c r="A4" s="671" t="s">
        <v>339</v>
      </c>
      <c r="B4" s="671"/>
      <c r="C4" s="33" t="s">
        <v>1</v>
      </c>
      <c r="D4" s="34"/>
      <c r="E4" s="35"/>
      <c r="F4" s="36"/>
      <c r="G4" s="37"/>
      <c r="H4" s="38"/>
      <c r="I4" s="39"/>
      <c r="J4" s="40"/>
      <c r="K4" s="41"/>
      <c r="L4" s="41"/>
      <c r="M4" s="41"/>
      <c r="N4" s="41"/>
      <c r="O4" s="41"/>
      <c r="P4" s="41"/>
      <c r="Q4" s="41"/>
      <c r="R4" s="42"/>
      <c r="S4" s="43"/>
      <c r="T4" s="43"/>
      <c r="U4" s="43"/>
    </row>
    <row r="5" spans="1:21" s="33" customFormat="1" ht="27.75">
      <c r="A5" s="668" t="s">
        <v>340</v>
      </c>
      <c r="B5" s="668"/>
      <c r="C5" s="33" t="s">
        <v>3</v>
      </c>
      <c r="D5" s="44"/>
      <c r="E5" s="35"/>
      <c r="F5" s="36"/>
      <c r="G5" s="37"/>
      <c r="H5" s="38"/>
      <c r="I5" s="39"/>
      <c r="J5" s="40"/>
      <c r="K5" s="41"/>
      <c r="L5" s="41"/>
      <c r="M5" s="41"/>
      <c r="N5" s="41"/>
      <c r="O5" s="41"/>
      <c r="P5" s="41"/>
      <c r="Q5" s="41"/>
      <c r="R5" s="42"/>
      <c r="S5" s="43"/>
      <c r="T5" s="43"/>
      <c r="U5" s="43"/>
    </row>
    <row r="6" spans="1:21" s="33" customFormat="1" ht="27.75">
      <c r="A6" s="668" t="s">
        <v>61</v>
      </c>
      <c r="B6" s="668"/>
      <c r="C6" s="33" t="s">
        <v>62</v>
      </c>
      <c r="D6" s="44"/>
      <c r="E6" s="35"/>
      <c r="F6" s="36"/>
      <c r="G6" s="37"/>
      <c r="H6" s="38"/>
      <c r="I6" s="39"/>
      <c r="J6" s="40"/>
      <c r="K6" s="41"/>
      <c r="L6" s="41"/>
      <c r="M6" s="41"/>
      <c r="N6" s="41"/>
      <c r="O6" s="41"/>
      <c r="P6" s="41"/>
      <c r="Q6" s="45"/>
      <c r="R6" s="42"/>
      <c r="S6" s="43"/>
      <c r="T6" s="43"/>
      <c r="U6" s="43"/>
    </row>
    <row r="7" spans="1:21" s="33" customFormat="1" ht="27.75">
      <c r="A7" s="668" t="s">
        <v>63</v>
      </c>
      <c r="B7" s="668"/>
      <c r="C7" s="33" t="s">
        <v>341</v>
      </c>
      <c r="D7" s="44"/>
      <c r="E7" s="35"/>
      <c r="F7" s="36"/>
      <c r="G7" s="37"/>
      <c r="H7" s="38"/>
      <c r="I7" s="39"/>
      <c r="J7" s="40"/>
      <c r="K7" s="41"/>
      <c r="L7" s="41"/>
      <c r="M7" s="41"/>
      <c r="N7" s="41"/>
      <c r="O7" s="41"/>
      <c r="P7" s="41"/>
      <c r="Q7" s="45"/>
      <c r="R7" s="42"/>
      <c r="S7" s="43"/>
      <c r="T7" s="43"/>
      <c r="U7" s="43"/>
    </row>
    <row r="8" spans="1:21" s="32" customFormat="1">
      <c r="A8" s="46"/>
      <c r="B8" s="47"/>
      <c r="C8" s="48"/>
      <c r="D8" s="47"/>
      <c r="E8" s="48"/>
      <c r="F8" s="49"/>
      <c r="G8" s="50"/>
      <c r="H8" s="51"/>
      <c r="I8" s="48"/>
      <c r="J8" s="52"/>
      <c r="K8" s="53"/>
      <c r="L8" s="53"/>
      <c r="M8" s="53"/>
      <c r="N8" s="53"/>
      <c r="O8" s="53"/>
      <c r="P8" s="53"/>
      <c r="Q8" s="53"/>
      <c r="R8" s="54"/>
      <c r="S8" s="47"/>
      <c r="T8" s="47"/>
      <c r="U8" s="47"/>
    </row>
    <row r="9" spans="1:21" ht="15" customHeight="1">
      <c r="A9" s="675" t="s">
        <v>4</v>
      </c>
      <c r="B9" s="675" t="s">
        <v>342</v>
      </c>
      <c r="C9" s="675"/>
      <c r="D9" s="675"/>
      <c r="E9" s="675"/>
      <c r="F9" s="675"/>
      <c r="G9" s="676" t="s">
        <v>343</v>
      </c>
      <c r="H9" s="681" t="s">
        <v>228</v>
      </c>
      <c r="I9" s="682"/>
      <c r="J9" s="687" t="s">
        <v>344</v>
      </c>
      <c r="K9" s="679" t="s">
        <v>229</v>
      </c>
      <c r="L9" s="679"/>
      <c r="M9" s="679"/>
      <c r="N9" s="679"/>
      <c r="O9" s="679"/>
      <c r="P9" s="679"/>
      <c r="Q9" s="675" t="s">
        <v>345</v>
      </c>
      <c r="R9" s="675"/>
      <c r="S9" s="675" t="s">
        <v>230</v>
      </c>
      <c r="T9" s="675"/>
      <c r="U9" s="675"/>
    </row>
    <row r="10" spans="1:21" ht="22.5" customHeight="1">
      <c r="A10" s="675"/>
      <c r="B10" s="675"/>
      <c r="C10" s="675"/>
      <c r="D10" s="675"/>
      <c r="E10" s="675"/>
      <c r="F10" s="675"/>
      <c r="G10" s="677"/>
      <c r="H10" s="683"/>
      <c r="I10" s="684"/>
      <c r="J10" s="688"/>
      <c r="K10" s="679"/>
      <c r="L10" s="679"/>
      <c r="M10" s="679"/>
      <c r="N10" s="679"/>
      <c r="O10" s="679"/>
      <c r="P10" s="679"/>
      <c r="Q10" s="675"/>
      <c r="R10" s="675"/>
      <c r="S10" s="675"/>
      <c r="T10" s="675"/>
      <c r="U10" s="675"/>
    </row>
    <row r="11" spans="1:21" ht="89.25" customHeight="1">
      <c r="A11" s="675"/>
      <c r="B11" s="56" t="s">
        <v>346</v>
      </c>
      <c r="C11" s="56"/>
      <c r="D11" s="56" t="s">
        <v>231</v>
      </c>
      <c r="E11" s="57"/>
      <c r="F11" s="56" t="s">
        <v>232</v>
      </c>
      <c r="G11" s="678"/>
      <c r="H11" s="685"/>
      <c r="I11" s="686"/>
      <c r="J11" s="689"/>
      <c r="K11" s="58" t="s">
        <v>347</v>
      </c>
      <c r="L11" s="58" t="s">
        <v>348</v>
      </c>
      <c r="M11" s="58" t="s">
        <v>349</v>
      </c>
      <c r="N11" s="58" t="s">
        <v>350</v>
      </c>
      <c r="O11" s="58" t="s">
        <v>351</v>
      </c>
      <c r="P11" s="58" t="s">
        <v>352</v>
      </c>
      <c r="Q11" s="59" t="s">
        <v>353</v>
      </c>
      <c r="R11" s="56" t="s">
        <v>354</v>
      </c>
      <c r="S11" s="56" t="s">
        <v>234</v>
      </c>
      <c r="T11" s="56" t="s">
        <v>355</v>
      </c>
      <c r="U11" s="56" t="s">
        <v>235</v>
      </c>
    </row>
    <row r="12" spans="1:21" s="66" customFormat="1" ht="18.75">
      <c r="A12" s="60" t="s">
        <v>236</v>
      </c>
      <c r="B12" s="60" t="s">
        <v>237</v>
      </c>
      <c r="C12" s="60" t="s">
        <v>356</v>
      </c>
      <c r="D12" s="60" t="s">
        <v>239</v>
      </c>
      <c r="E12" s="60" t="s">
        <v>240</v>
      </c>
      <c r="F12" s="60" t="s">
        <v>241</v>
      </c>
      <c r="G12" s="61" t="s">
        <v>242</v>
      </c>
      <c r="H12" s="62" t="s">
        <v>243</v>
      </c>
      <c r="I12" s="60" t="s">
        <v>244</v>
      </c>
      <c r="J12" s="63" t="s">
        <v>266</v>
      </c>
      <c r="K12" s="64" t="s">
        <v>245</v>
      </c>
      <c r="L12" s="64" t="s">
        <v>246</v>
      </c>
      <c r="M12" s="64" t="s">
        <v>26</v>
      </c>
      <c r="N12" s="64" t="s">
        <v>247</v>
      </c>
      <c r="O12" s="64" t="s">
        <v>248</v>
      </c>
      <c r="P12" s="64" t="s">
        <v>249</v>
      </c>
      <c r="Q12" s="64" t="s">
        <v>274</v>
      </c>
      <c r="R12" s="65" t="s">
        <v>286</v>
      </c>
      <c r="S12" s="60" t="s">
        <v>287</v>
      </c>
      <c r="T12" s="60" t="s">
        <v>288</v>
      </c>
      <c r="U12" s="60" t="s">
        <v>357</v>
      </c>
    </row>
    <row r="13" spans="1:21" s="81" customFormat="1" ht="91.5" customHeight="1">
      <c r="A13" s="67">
        <v>1</v>
      </c>
      <c r="B13" s="68" t="s">
        <v>358</v>
      </c>
      <c r="C13" s="69" t="s">
        <v>359</v>
      </c>
      <c r="D13" s="70" t="s">
        <v>360</v>
      </c>
      <c r="E13" s="71"/>
      <c r="F13" s="72"/>
      <c r="G13" s="73"/>
      <c r="H13" s="74"/>
      <c r="I13" s="57"/>
      <c r="J13" s="75"/>
      <c r="K13" s="76"/>
      <c r="L13" s="77"/>
      <c r="M13" s="77"/>
      <c r="N13" s="77"/>
      <c r="O13" s="77"/>
      <c r="P13" s="77"/>
      <c r="Q13" s="78"/>
      <c r="R13" s="57"/>
      <c r="S13" s="79"/>
      <c r="T13" s="80"/>
      <c r="U13" s="80"/>
    </row>
    <row r="14" spans="1:21" s="92" customFormat="1" ht="50.25" customHeight="1">
      <c r="A14" s="82"/>
      <c r="B14" s="57"/>
      <c r="C14" s="83"/>
      <c r="D14" s="84"/>
      <c r="E14" s="84">
        <v>1</v>
      </c>
      <c r="F14" s="85" t="s">
        <v>7</v>
      </c>
      <c r="G14" s="86" t="s">
        <v>361</v>
      </c>
      <c r="H14" s="87">
        <v>6</v>
      </c>
      <c r="I14" s="88" t="s">
        <v>362</v>
      </c>
      <c r="J14" s="89" t="s">
        <v>363</v>
      </c>
      <c r="K14" s="76">
        <v>40950000</v>
      </c>
      <c r="L14" s="76">
        <v>40950000</v>
      </c>
      <c r="M14" s="76">
        <v>40950000</v>
      </c>
      <c r="N14" s="76">
        <v>40950000</v>
      </c>
      <c r="O14" s="76">
        <v>40950000</v>
      </c>
      <c r="P14" s="76">
        <v>40950000</v>
      </c>
      <c r="Q14" s="78">
        <f>SUM(K14:P14)</f>
        <v>245700000</v>
      </c>
      <c r="R14" s="90" t="s">
        <v>9</v>
      </c>
      <c r="S14" s="82" t="s">
        <v>250</v>
      </c>
      <c r="T14" s="91"/>
      <c r="U14" s="91"/>
    </row>
    <row r="15" spans="1:21" s="92" customFormat="1" ht="50.25" customHeight="1">
      <c r="A15" s="82"/>
      <c r="B15" s="57"/>
      <c r="C15" s="83"/>
      <c r="D15" s="84"/>
      <c r="E15" s="84">
        <v>2</v>
      </c>
      <c r="F15" s="85" t="s">
        <v>10</v>
      </c>
      <c r="G15" s="86" t="s">
        <v>361</v>
      </c>
      <c r="H15" s="87">
        <v>6</v>
      </c>
      <c r="I15" s="88" t="s">
        <v>362</v>
      </c>
      <c r="J15" s="89" t="s">
        <v>364</v>
      </c>
      <c r="K15" s="76">
        <v>692793400</v>
      </c>
      <c r="L15" s="76">
        <v>692793400</v>
      </c>
      <c r="M15" s="76">
        <v>692793400</v>
      </c>
      <c r="N15" s="76">
        <v>692793400</v>
      </c>
      <c r="O15" s="76">
        <v>692793400</v>
      </c>
      <c r="P15" s="76">
        <v>692793400</v>
      </c>
      <c r="Q15" s="78">
        <f t="shared" ref="Q15:Q57" si="0">SUM(K15:P15)</f>
        <v>4156760400</v>
      </c>
      <c r="R15" s="90" t="s">
        <v>9</v>
      </c>
      <c r="S15" s="82" t="s">
        <v>250</v>
      </c>
      <c r="T15" s="91"/>
      <c r="U15" s="91"/>
    </row>
    <row r="16" spans="1:21" s="92" customFormat="1" ht="50.25" customHeight="1">
      <c r="A16" s="82"/>
      <c r="B16" s="57"/>
      <c r="C16" s="83"/>
      <c r="D16" s="84"/>
      <c r="E16" s="84">
        <v>3</v>
      </c>
      <c r="F16" s="85" t="s">
        <v>11</v>
      </c>
      <c r="G16" s="86" t="s">
        <v>361</v>
      </c>
      <c r="H16" s="87">
        <v>6</v>
      </c>
      <c r="I16" s="88" t="s">
        <v>362</v>
      </c>
      <c r="J16" s="89" t="s">
        <v>365</v>
      </c>
      <c r="K16" s="76">
        <v>47058243.840000004</v>
      </c>
      <c r="L16" s="77">
        <v>47058243.840000004</v>
      </c>
      <c r="M16" s="77">
        <v>47058243.840000004</v>
      </c>
      <c r="N16" s="77">
        <v>47058243.840000004</v>
      </c>
      <c r="O16" s="77">
        <v>47058243.840000004</v>
      </c>
      <c r="P16" s="77">
        <v>47058243.840000004</v>
      </c>
      <c r="Q16" s="78">
        <f t="shared" si="0"/>
        <v>282349463.04000002</v>
      </c>
      <c r="R16" s="90" t="s">
        <v>9</v>
      </c>
      <c r="S16" s="82" t="s">
        <v>250</v>
      </c>
      <c r="T16" s="91"/>
      <c r="U16" s="91"/>
    </row>
    <row r="17" spans="1:21" s="92" customFormat="1" ht="50.25" customHeight="1">
      <c r="A17" s="82"/>
      <c r="B17" s="57"/>
      <c r="C17" s="83"/>
      <c r="D17" s="84"/>
      <c r="E17" s="84">
        <v>4</v>
      </c>
      <c r="F17" s="85" t="s">
        <v>72</v>
      </c>
      <c r="G17" s="86" t="s">
        <v>361</v>
      </c>
      <c r="H17" s="87">
        <v>6</v>
      </c>
      <c r="I17" s="88" t="s">
        <v>362</v>
      </c>
      <c r="J17" s="89" t="s">
        <v>366</v>
      </c>
      <c r="K17" s="76">
        <v>35000000</v>
      </c>
      <c r="L17" s="77">
        <v>35000000</v>
      </c>
      <c r="M17" s="77">
        <v>35000000</v>
      </c>
      <c r="N17" s="77">
        <v>35000000</v>
      </c>
      <c r="O17" s="77">
        <v>35000000</v>
      </c>
      <c r="P17" s="77">
        <v>35000000</v>
      </c>
      <c r="Q17" s="78">
        <f t="shared" si="0"/>
        <v>210000000</v>
      </c>
      <c r="R17" s="90" t="s">
        <v>9</v>
      </c>
      <c r="S17" s="82" t="s">
        <v>250</v>
      </c>
      <c r="T17" s="91"/>
      <c r="U17" s="91"/>
    </row>
    <row r="18" spans="1:21" s="92" customFormat="1" ht="50.25" customHeight="1">
      <c r="A18" s="82"/>
      <c r="B18" s="57"/>
      <c r="C18" s="83"/>
      <c r="D18" s="84"/>
      <c r="E18" s="84">
        <v>5</v>
      </c>
      <c r="F18" s="85" t="s">
        <v>13</v>
      </c>
      <c r="G18" s="86" t="s">
        <v>361</v>
      </c>
      <c r="H18" s="87">
        <v>6</v>
      </c>
      <c r="I18" s="88" t="s">
        <v>362</v>
      </c>
      <c r="J18" s="89" t="s">
        <v>367</v>
      </c>
      <c r="K18" s="76">
        <v>42000000</v>
      </c>
      <c r="L18" s="77">
        <v>42000000</v>
      </c>
      <c r="M18" s="77">
        <v>42000000</v>
      </c>
      <c r="N18" s="77">
        <v>42000000</v>
      </c>
      <c r="O18" s="77">
        <v>42000000</v>
      </c>
      <c r="P18" s="77">
        <v>42000000</v>
      </c>
      <c r="Q18" s="78">
        <f t="shared" si="0"/>
        <v>252000000</v>
      </c>
      <c r="R18" s="90" t="s">
        <v>9</v>
      </c>
      <c r="S18" s="82" t="s">
        <v>250</v>
      </c>
      <c r="T18" s="91"/>
      <c r="U18" s="91"/>
    </row>
    <row r="19" spans="1:21" s="92" customFormat="1" ht="50.25" customHeight="1">
      <c r="A19" s="82"/>
      <c r="B19" s="57"/>
      <c r="C19" s="83"/>
      <c r="D19" s="84"/>
      <c r="E19" s="84">
        <v>6</v>
      </c>
      <c r="F19" s="85" t="s">
        <v>73</v>
      </c>
      <c r="G19" s="86" t="s">
        <v>361</v>
      </c>
      <c r="H19" s="87">
        <v>6</v>
      </c>
      <c r="I19" s="88" t="s">
        <v>362</v>
      </c>
      <c r="J19" s="89" t="s">
        <v>368</v>
      </c>
      <c r="K19" s="76">
        <v>10000000</v>
      </c>
      <c r="L19" s="77">
        <v>10000000</v>
      </c>
      <c r="M19" s="77">
        <v>10000000</v>
      </c>
      <c r="N19" s="77">
        <v>10000000</v>
      </c>
      <c r="O19" s="77">
        <v>10000000</v>
      </c>
      <c r="P19" s="77">
        <v>10000000</v>
      </c>
      <c r="Q19" s="78">
        <f t="shared" si="0"/>
        <v>60000000</v>
      </c>
      <c r="R19" s="90" t="s">
        <v>9</v>
      </c>
      <c r="S19" s="82" t="s">
        <v>250</v>
      </c>
      <c r="T19" s="91"/>
      <c r="U19" s="91"/>
    </row>
    <row r="20" spans="1:21" s="92" customFormat="1" ht="50.25" customHeight="1">
      <c r="A20" s="82"/>
      <c r="B20" s="57"/>
      <c r="C20" s="83"/>
      <c r="D20" s="71"/>
      <c r="E20" s="84">
        <v>7</v>
      </c>
      <c r="F20" s="93" t="s">
        <v>14</v>
      </c>
      <c r="G20" s="94" t="s">
        <v>361</v>
      </c>
      <c r="H20" s="95">
        <v>6</v>
      </c>
      <c r="I20" s="96" t="s">
        <v>362</v>
      </c>
      <c r="J20" s="89" t="s">
        <v>369</v>
      </c>
      <c r="K20" s="76">
        <v>32000000</v>
      </c>
      <c r="L20" s="77">
        <v>32000000</v>
      </c>
      <c r="M20" s="77">
        <v>32000000</v>
      </c>
      <c r="N20" s="77">
        <v>32000000</v>
      </c>
      <c r="O20" s="77">
        <v>32000000</v>
      </c>
      <c r="P20" s="77">
        <v>32000000</v>
      </c>
      <c r="Q20" s="78">
        <f t="shared" si="0"/>
        <v>192000000</v>
      </c>
      <c r="R20" s="97" t="s">
        <v>9</v>
      </c>
      <c r="S20" s="82" t="s">
        <v>250</v>
      </c>
      <c r="T20" s="91"/>
      <c r="U20" s="91"/>
    </row>
    <row r="21" spans="1:21" s="92" customFormat="1" ht="50.25" customHeight="1">
      <c r="A21" s="82"/>
      <c r="B21" s="57"/>
      <c r="C21" s="83"/>
      <c r="D21" s="71"/>
      <c r="E21" s="84">
        <v>8</v>
      </c>
      <c r="F21" s="93" t="s">
        <v>370</v>
      </c>
      <c r="G21" s="94" t="s">
        <v>371</v>
      </c>
      <c r="H21" s="95">
        <f>63+14</f>
        <v>77</v>
      </c>
      <c r="I21" s="96" t="s">
        <v>60</v>
      </c>
      <c r="J21" s="89" t="s">
        <v>372</v>
      </c>
      <c r="K21" s="77"/>
      <c r="L21" s="98"/>
      <c r="M21" s="77">
        <f>77*200000</f>
        <v>15400000</v>
      </c>
      <c r="N21" s="77"/>
      <c r="O21" s="77"/>
      <c r="P21" s="77"/>
      <c r="Q21" s="78">
        <f t="shared" si="0"/>
        <v>15400000</v>
      </c>
      <c r="R21" s="97" t="s">
        <v>9</v>
      </c>
      <c r="S21" s="82" t="s">
        <v>250</v>
      </c>
      <c r="T21" s="91"/>
      <c r="U21" s="91"/>
    </row>
    <row r="22" spans="1:21" s="92" customFormat="1" ht="50.25" customHeight="1">
      <c r="A22" s="82"/>
      <c r="B22" s="57"/>
      <c r="C22" s="83"/>
      <c r="D22" s="71"/>
      <c r="E22" s="84">
        <v>9</v>
      </c>
      <c r="F22" s="93" t="s">
        <v>195</v>
      </c>
      <c r="G22" s="94" t="s">
        <v>371</v>
      </c>
      <c r="H22" s="95">
        <v>77</v>
      </c>
      <c r="I22" s="96" t="s">
        <v>60</v>
      </c>
      <c r="J22" s="89" t="s">
        <v>373</v>
      </c>
      <c r="K22" s="77">
        <v>10000000</v>
      </c>
      <c r="L22" s="77">
        <v>10000000</v>
      </c>
      <c r="M22" s="77">
        <v>10000000</v>
      </c>
      <c r="N22" s="77">
        <v>10000000</v>
      </c>
      <c r="O22" s="77">
        <v>10000000</v>
      </c>
      <c r="P22" s="77">
        <v>10000000</v>
      </c>
      <c r="Q22" s="78">
        <f t="shared" si="0"/>
        <v>60000000</v>
      </c>
      <c r="R22" s="97" t="s">
        <v>9</v>
      </c>
      <c r="S22" s="82" t="s">
        <v>250</v>
      </c>
      <c r="T22" s="91"/>
      <c r="U22" s="91"/>
    </row>
    <row r="23" spans="1:21" s="109" customFormat="1" ht="54.75" customHeight="1">
      <c r="A23" s="99"/>
      <c r="B23" s="100"/>
      <c r="C23" s="69" t="s">
        <v>374</v>
      </c>
      <c r="D23" s="70" t="s">
        <v>375</v>
      </c>
      <c r="E23" s="71"/>
      <c r="F23" s="72"/>
      <c r="G23" s="101"/>
      <c r="H23" s="102"/>
      <c r="I23" s="103"/>
      <c r="J23" s="104"/>
      <c r="K23" s="105"/>
      <c r="L23" s="105"/>
      <c r="M23" s="105"/>
      <c r="N23" s="105"/>
      <c r="O23" s="105"/>
      <c r="P23" s="105"/>
      <c r="Q23" s="78"/>
      <c r="R23" s="106"/>
      <c r="S23" s="107"/>
      <c r="T23" s="108"/>
      <c r="U23" s="108"/>
    </row>
    <row r="24" spans="1:21" s="115" customFormat="1" ht="48" customHeight="1">
      <c r="A24" s="82"/>
      <c r="B24" s="110"/>
      <c r="C24" s="111"/>
      <c r="D24" s="112"/>
      <c r="E24" s="71">
        <v>1</v>
      </c>
      <c r="F24" s="113" t="s">
        <v>76</v>
      </c>
      <c r="G24" s="94" t="s">
        <v>361</v>
      </c>
      <c r="H24" s="95">
        <v>1</v>
      </c>
      <c r="I24" s="96" t="s">
        <v>255</v>
      </c>
      <c r="J24" s="89" t="s">
        <v>376</v>
      </c>
      <c r="K24" s="77">
        <v>10000000</v>
      </c>
      <c r="L24" s="77">
        <v>10000000</v>
      </c>
      <c r="M24" s="77">
        <v>10000000</v>
      </c>
      <c r="N24" s="77">
        <v>10000000</v>
      </c>
      <c r="O24" s="77">
        <v>10000000</v>
      </c>
      <c r="P24" s="77">
        <v>10000000</v>
      </c>
      <c r="Q24" s="78">
        <f t="shared" si="0"/>
        <v>60000000</v>
      </c>
      <c r="R24" s="97" t="s">
        <v>9</v>
      </c>
      <c r="S24" s="82" t="s">
        <v>250</v>
      </c>
      <c r="T24" s="114"/>
      <c r="U24" s="114"/>
    </row>
    <row r="25" spans="1:21" s="115" customFormat="1" ht="48" customHeight="1">
      <c r="A25" s="82"/>
      <c r="B25" s="110"/>
      <c r="C25" s="111"/>
      <c r="D25" s="112"/>
      <c r="E25" s="71">
        <v>2</v>
      </c>
      <c r="F25" s="112" t="s">
        <v>15</v>
      </c>
      <c r="G25" s="94" t="s">
        <v>361</v>
      </c>
      <c r="H25" s="95">
        <v>1</v>
      </c>
      <c r="I25" s="96" t="s">
        <v>255</v>
      </c>
      <c r="J25" s="89" t="s">
        <v>377</v>
      </c>
      <c r="K25" s="77">
        <v>5000000</v>
      </c>
      <c r="L25" s="77">
        <v>5000000</v>
      </c>
      <c r="M25" s="77">
        <v>5000000</v>
      </c>
      <c r="N25" s="77">
        <v>5000000</v>
      </c>
      <c r="O25" s="77">
        <v>5000000</v>
      </c>
      <c r="P25" s="77">
        <v>5000000</v>
      </c>
      <c r="Q25" s="78">
        <f t="shared" si="0"/>
        <v>30000000</v>
      </c>
      <c r="R25" s="97" t="s">
        <v>378</v>
      </c>
      <c r="S25" s="82" t="s">
        <v>250</v>
      </c>
      <c r="T25" s="114"/>
      <c r="U25" s="114"/>
    </row>
    <row r="26" spans="1:21" s="115" customFormat="1" ht="52.5" customHeight="1">
      <c r="A26" s="82"/>
      <c r="B26" s="110"/>
      <c r="C26" s="116"/>
      <c r="D26" s="112"/>
      <c r="E26" s="71">
        <v>3</v>
      </c>
      <c r="F26" s="113" t="s">
        <v>77</v>
      </c>
      <c r="G26" s="94" t="s">
        <v>361</v>
      </c>
      <c r="H26" s="95">
        <v>1</v>
      </c>
      <c r="I26" s="82" t="s">
        <v>255</v>
      </c>
      <c r="J26" s="89" t="s">
        <v>379</v>
      </c>
      <c r="K26" s="77"/>
      <c r="L26" s="77"/>
      <c r="M26" s="77"/>
      <c r="N26" s="77"/>
      <c r="O26" s="77"/>
      <c r="P26" s="77"/>
      <c r="Q26" s="78">
        <f>SUM(K26:P26)</f>
        <v>0</v>
      </c>
      <c r="R26" s="57"/>
      <c r="S26" s="117"/>
      <c r="T26" s="114"/>
      <c r="U26" s="114"/>
    </row>
    <row r="27" spans="1:21" s="115" customFormat="1" ht="52.5" customHeight="1">
      <c r="A27" s="82"/>
      <c r="B27" s="110"/>
      <c r="C27" s="116"/>
      <c r="D27" s="112"/>
      <c r="E27" s="71"/>
      <c r="F27" s="118" t="s">
        <v>380</v>
      </c>
      <c r="G27" s="94" t="s">
        <v>361</v>
      </c>
      <c r="H27" s="95">
        <v>1</v>
      </c>
      <c r="I27" s="82" t="s">
        <v>255</v>
      </c>
      <c r="J27" s="89" t="s">
        <v>381</v>
      </c>
      <c r="K27" s="77">
        <v>40000000</v>
      </c>
      <c r="L27" s="77"/>
      <c r="M27" s="77"/>
      <c r="N27" s="77"/>
      <c r="O27" s="77"/>
      <c r="P27" s="77"/>
      <c r="Q27" s="78">
        <f t="shared" ref="Q27:Q28" si="1">SUM(K27:P27)</f>
        <v>40000000</v>
      </c>
      <c r="R27" s="57" t="s">
        <v>382</v>
      </c>
      <c r="S27" s="117"/>
      <c r="T27" s="114"/>
      <c r="U27" s="114"/>
    </row>
    <row r="28" spans="1:21" s="115" customFormat="1" ht="52.5" customHeight="1">
      <c r="A28" s="82"/>
      <c r="B28" s="110"/>
      <c r="C28" s="116"/>
      <c r="D28" s="112"/>
      <c r="E28" s="71"/>
      <c r="F28" s="118" t="s">
        <v>383</v>
      </c>
      <c r="G28" s="94" t="s">
        <v>384</v>
      </c>
      <c r="H28" s="95">
        <v>1</v>
      </c>
      <c r="I28" s="82" t="s">
        <v>385</v>
      </c>
      <c r="J28" s="89" t="s">
        <v>386</v>
      </c>
      <c r="K28" s="77">
        <v>5000000</v>
      </c>
      <c r="L28" s="77">
        <v>5000000</v>
      </c>
      <c r="M28" s="77">
        <v>5000000</v>
      </c>
      <c r="N28" s="77">
        <v>5000000</v>
      </c>
      <c r="O28" s="77">
        <v>5000000</v>
      </c>
      <c r="P28" s="77">
        <v>5000000</v>
      </c>
      <c r="Q28" s="78">
        <f t="shared" si="1"/>
        <v>30000000</v>
      </c>
      <c r="R28" s="57" t="s">
        <v>321</v>
      </c>
      <c r="S28" s="82" t="s">
        <v>250</v>
      </c>
      <c r="T28" s="114"/>
      <c r="U28" s="114"/>
    </row>
    <row r="29" spans="1:21" s="115" customFormat="1" ht="52.5" customHeight="1">
      <c r="A29" s="82"/>
      <c r="B29" s="110"/>
      <c r="C29" s="116"/>
      <c r="D29" s="112"/>
      <c r="E29" s="71">
        <v>4</v>
      </c>
      <c r="F29" s="112" t="s">
        <v>78</v>
      </c>
      <c r="G29" s="94" t="s">
        <v>361</v>
      </c>
      <c r="H29" s="95">
        <v>1</v>
      </c>
      <c r="I29" s="82" t="s">
        <v>255</v>
      </c>
      <c r="J29" s="89" t="s">
        <v>387</v>
      </c>
      <c r="K29" s="77">
        <v>20000000</v>
      </c>
      <c r="L29" s="77"/>
      <c r="M29" s="77"/>
      <c r="N29" s="77">
        <v>20000000</v>
      </c>
      <c r="O29" s="77"/>
      <c r="P29" s="77"/>
      <c r="Q29" s="78">
        <f t="shared" si="0"/>
        <v>40000000</v>
      </c>
      <c r="R29" s="57" t="s">
        <v>388</v>
      </c>
      <c r="S29" s="82" t="s">
        <v>250</v>
      </c>
      <c r="T29" s="114"/>
      <c r="U29" s="114"/>
    </row>
    <row r="30" spans="1:21" s="115" customFormat="1" ht="52.5" customHeight="1">
      <c r="A30" s="82"/>
      <c r="B30" s="110"/>
      <c r="C30" s="116"/>
      <c r="D30" s="112"/>
      <c r="E30" s="71">
        <v>5</v>
      </c>
      <c r="F30" s="113" t="s">
        <v>79</v>
      </c>
      <c r="G30" s="94" t="s">
        <v>389</v>
      </c>
      <c r="H30" s="95">
        <v>1</v>
      </c>
      <c r="I30" s="82" t="s">
        <v>255</v>
      </c>
      <c r="J30" s="89" t="s">
        <v>390</v>
      </c>
      <c r="K30" s="77"/>
      <c r="L30" s="77">
        <v>40000000</v>
      </c>
      <c r="M30" s="77"/>
      <c r="N30" s="77"/>
      <c r="O30" s="77">
        <v>40000000</v>
      </c>
      <c r="P30" s="77"/>
      <c r="Q30" s="78">
        <f t="shared" si="0"/>
        <v>80000000</v>
      </c>
      <c r="R30" s="57" t="s">
        <v>31</v>
      </c>
      <c r="S30" s="82" t="s">
        <v>250</v>
      </c>
      <c r="T30" s="114"/>
      <c r="U30" s="114"/>
    </row>
    <row r="31" spans="1:21" s="115" customFormat="1" ht="48" customHeight="1">
      <c r="A31" s="82"/>
      <c r="B31" s="110"/>
      <c r="C31" s="111"/>
      <c r="D31" s="112"/>
      <c r="E31" s="71">
        <v>6</v>
      </c>
      <c r="F31" s="118" t="s">
        <v>80</v>
      </c>
      <c r="G31" s="94" t="s">
        <v>361</v>
      </c>
      <c r="H31" s="95">
        <v>1</v>
      </c>
      <c r="I31" s="96" t="s">
        <v>255</v>
      </c>
      <c r="J31" s="89" t="s">
        <v>391</v>
      </c>
      <c r="K31" s="77">
        <v>5000000</v>
      </c>
      <c r="L31" s="77">
        <v>5000000</v>
      </c>
      <c r="M31" s="77">
        <v>5000000</v>
      </c>
      <c r="N31" s="77">
        <v>5000000</v>
      </c>
      <c r="O31" s="77">
        <v>5000000</v>
      </c>
      <c r="P31" s="77">
        <v>5000000</v>
      </c>
      <c r="Q31" s="78">
        <f t="shared" si="0"/>
        <v>30000000</v>
      </c>
      <c r="R31" s="97" t="s">
        <v>9</v>
      </c>
      <c r="S31" s="82" t="s">
        <v>250</v>
      </c>
      <c r="T31" s="114"/>
      <c r="U31" s="114"/>
    </row>
    <row r="32" spans="1:21" s="115" customFormat="1" ht="52.5" customHeight="1">
      <c r="A32" s="82"/>
      <c r="B32" s="110"/>
      <c r="C32" s="116"/>
      <c r="D32" s="112"/>
      <c r="E32" s="71">
        <v>8</v>
      </c>
      <c r="F32" s="113" t="s">
        <v>81</v>
      </c>
      <c r="G32" s="94" t="s">
        <v>361</v>
      </c>
      <c r="H32" s="95">
        <v>1</v>
      </c>
      <c r="I32" s="82" t="s">
        <v>255</v>
      </c>
      <c r="J32" s="89" t="s">
        <v>392</v>
      </c>
      <c r="K32" s="77">
        <v>2000000</v>
      </c>
      <c r="L32" s="77">
        <v>2000000</v>
      </c>
      <c r="M32" s="77">
        <v>2000000</v>
      </c>
      <c r="N32" s="77">
        <v>2000000</v>
      </c>
      <c r="O32" s="77">
        <v>2000000</v>
      </c>
      <c r="P32" s="77">
        <v>2000000</v>
      </c>
      <c r="Q32" s="78">
        <f t="shared" si="0"/>
        <v>12000000</v>
      </c>
      <c r="R32" s="57" t="s">
        <v>9</v>
      </c>
      <c r="S32" s="82" t="s">
        <v>250</v>
      </c>
      <c r="T32" s="114"/>
      <c r="U32" s="114"/>
    </row>
    <row r="33" spans="1:21" s="115" customFormat="1" ht="52.5" customHeight="1">
      <c r="A33" s="82"/>
      <c r="B33" s="110"/>
      <c r="C33" s="116"/>
      <c r="D33" s="112"/>
      <c r="E33" s="71">
        <v>9</v>
      </c>
      <c r="F33" s="112" t="s">
        <v>82</v>
      </c>
      <c r="G33" s="94" t="s">
        <v>361</v>
      </c>
      <c r="H33" s="95">
        <v>1</v>
      </c>
      <c r="I33" s="82" t="s">
        <v>255</v>
      </c>
      <c r="J33" s="89" t="s">
        <v>393</v>
      </c>
      <c r="K33" s="77">
        <v>2000000</v>
      </c>
      <c r="L33" s="77">
        <v>2000000</v>
      </c>
      <c r="M33" s="77">
        <v>2000000</v>
      </c>
      <c r="N33" s="77">
        <v>3000000</v>
      </c>
      <c r="O33" s="77">
        <v>3000000</v>
      </c>
      <c r="P33" s="77">
        <v>3000000</v>
      </c>
      <c r="Q33" s="78">
        <f t="shared" si="0"/>
        <v>15000000</v>
      </c>
      <c r="R33" s="57" t="s">
        <v>9</v>
      </c>
      <c r="S33" s="82" t="s">
        <v>250</v>
      </c>
      <c r="T33" s="114"/>
      <c r="U33" s="114"/>
    </row>
    <row r="34" spans="1:21" s="115" customFormat="1" ht="52.5" customHeight="1">
      <c r="A34" s="82"/>
      <c r="B34" s="110"/>
      <c r="C34" s="116"/>
      <c r="D34" s="112"/>
      <c r="E34" s="71">
        <v>10</v>
      </c>
      <c r="F34" s="113" t="s">
        <v>253</v>
      </c>
      <c r="G34" s="94" t="s">
        <v>361</v>
      </c>
      <c r="H34" s="95">
        <v>1</v>
      </c>
      <c r="I34" s="82" t="s">
        <v>255</v>
      </c>
      <c r="J34" s="89" t="s">
        <v>394</v>
      </c>
      <c r="K34" s="77"/>
      <c r="L34" s="77">
        <v>3000000</v>
      </c>
      <c r="M34" s="77"/>
      <c r="N34" s="77"/>
      <c r="O34" s="77"/>
      <c r="P34" s="77"/>
      <c r="Q34" s="78">
        <f t="shared" si="0"/>
        <v>3000000</v>
      </c>
      <c r="R34" s="57" t="s">
        <v>31</v>
      </c>
      <c r="S34" s="82" t="s">
        <v>250</v>
      </c>
      <c r="T34" s="114"/>
      <c r="U34" s="114"/>
    </row>
    <row r="35" spans="1:21" s="109" customFormat="1" ht="108.75" customHeight="1">
      <c r="A35" s="99"/>
      <c r="B35" s="100"/>
      <c r="C35" s="69" t="s">
        <v>356</v>
      </c>
      <c r="D35" s="70" t="s">
        <v>84</v>
      </c>
      <c r="E35" s="71"/>
      <c r="F35" s="72"/>
      <c r="G35" s="101"/>
      <c r="H35" s="102"/>
      <c r="I35" s="103"/>
      <c r="J35" s="104"/>
      <c r="K35" s="105"/>
      <c r="L35" s="105"/>
      <c r="M35" s="105"/>
      <c r="N35" s="105"/>
      <c r="O35" s="105"/>
      <c r="P35" s="105"/>
      <c r="Q35" s="78">
        <f t="shared" si="0"/>
        <v>0</v>
      </c>
      <c r="R35" s="106"/>
      <c r="S35" s="107"/>
      <c r="T35" s="108"/>
      <c r="U35" s="108"/>
    </row>
    <row r="36" spans="1:21" s="115" customFormat="1" ht="48" customHeight="1">
      <c r="A36" s="82"/>
      <c r="B36" s="110"/>
      <c r="C36" s="111"/>
      <c r="D36" s="112"/>
      <c r="E36" s="71">
        <v>1</v>
      </c>
      <c r="F36" s="113" t="s">
        <v>85</v>
      </c>
      <c r="G36" s="94" t="s">
        <v>361</v>
      </c>
      <c r="H36" s="95">
        <v>1</v>
      </c>
      <c r="I36" s="96" t="s">
        <v>255</v>
      </c>
      <c r="J36" s="89" t="s">
        <v>395</v>
      </c>
      <c r="K36" s="77">
        <v>3000000</v>
      </c>
      <c r="L36" s="77">
        <v>3000000</v>
      </c>
      <c r="M36" s="77">
        <v>3000000</v>
      </c>
      <c r="N36" s="77">
        <v>3000000</v>
      </c>
      <c r="O36" s="77">
        <v>3000000</v>
      </c>
      <c r="P36" s="77">
        <v>3000000</v>
      </c>
      <c r="Q36" s="78">
        <f t="shared" si="0"/>
        <v>18000000</v>
      </c>
      <c r="R36" s="97" t="s">
        <v>9</v>
      </c>
      <c r="S36" s="82" t="s">
        <v>250</v>
      </c>
      <c r="T36" s="114"/>
      <c r="U36" s="114"/>
    </row>
    <row r="37" spans="1:21" s="115" customFormat="1" ht="48" customHeight="1">
      <c r="A37" s="82"/>
      <c r="B37" s="110"/>
      <c r="C37" s="111"/>
      <c r="D37" s="112"/>
      <c r="E37" s="71">
        <v>2</v>
      </c>
      <c r="F37" s="112" t="s">
        <v>86</v>
      </c>
      <c r="G37" s="94" t="s">
        <v>361</v>
      </c>
      <c r="H37" s="95">
        <v>1</v>
      </c>
      <c r="I37" s="96" t="s">
        <v>255</v>
      </c>
      <c r="J37" s="89"/>
      <c r="K37" s="77">
        <v>20000000</v>
      </c>
      <c r="L37" s="77">
        <v>20000000</v>
      </c>
      <c r="M37" s="77">
        <v>20000000</v>
      </c>
      <c r="N37" s="77">
        <v>20000000</v>
      </c>
      <c r="O37" s="77">
        <v>20000000</v>
      </c>
      <c r="P37" s="77">
        <v>20000000</v>
      </c>
      <c r="Q37" s="78">
        <f t="shared" si="0"/>
        <v>120000000</v>
      </c>
      <c r="R37" s="97" t="s">
        <v>21</v>
      </c>
      <c r="S37" s="82" t="s">
        <v>250</v>
      </c>
      <c r="T37" s="114"/>
      <c r="U37" s="114"/>
    </row>
    <row r="38" spans="1:21" s="115" customFormat="1" ht="52.5" customHeight="1">
      <c r="A38" s="82"/>
      <c r="B38" s="110"/>
      <c r="C38" s="116"/>
      <c r="D38" s="112"/>
      <c r="E38" s="71">
        <v>3</v>
      </c>
      <c r="F38" s="113" t="s">
        <v>87</v>
      </c>
      <c r="G38" s="94" t="s">
        <v>361</v>
      </c>
      <c r="H38" s="95">
        <v>1</v>
      </c>
      <c r="I38" s="82" t="s">
        <v>255</v>
      </c>
      <c r="J38" s="89"/>
      <c r="K38" s="77">
        <v>5000000</v>
      </c>
      <c r="L38" s="77">
        <v>5000000</v>
      </c>
      <c r="M38" s="77">
        <v>5000000</v>
      </c>
      <c r="N38" s="77">
        <v>5000000</v>
      </c>
      <c r="O38" s="77">
        <v>5000000</v>
      </c>
      <c r="P38" s="77">
        <v>5000000</v>
      </c>
      <c r="Q38" s="78">
        <f t="shared" si="0"/>
        <v>30000000</v>
      </c>
      <c r="R38" s="57" t="s">
        <v>31</v>
      </c>
      <c r="S38" s="82" t="s">
        <v>250</v>
      </c>
      <c r="T38" s="114"/>
      <c r="U38" s="114"/>
    </row>
    <row r="39" spans="1:21" s="115" customFormat="1" ht="52.5" customHeight="1">
      <c r="A39" s="82"/>
      <c r="B39" s="110"/>
      <c r="C39" s="116"/>
      <c r="D39" s="112"/>
      <c r="E39" s="71">
        <v>4</v>
      </c>
      <c r="F39" s="112" t="s">
        <v>396</v>
      </c>
      <c r="G39" s="94" t="s">
        <v>361</v>
      </c>
      <c r="H39" s="95">
        <v>1</v>
      </c>
      <c r="I39" s="82" t="s">
        <v>255</v>
      </c>
      <c r="J39" s="89"/>
      <c r="K39" s="77">
        <v>2000000</v>
      </c>
      <c r="L39" s="77">
        <v>2000000</v>
      </c>
      <c r="M39" s="77">
        <v>2000000</v>
      </c>
      <c r="N39" s="77">
        <v>2000000</v>
      </c>
      <c r="O39" s="77">
        <v>2000000</v>
      </c>
      <c r="P39" s="77">
        <v>2000000</v>
      </c>
      <c r="Q39" s="78">
        <f t="shared" si="0"/>
        <v>12000000</v>
      </c>
      <c r="R39" s="57" t="s">
        <v>397</v>
      </c>
      <c r="S39" s="82" t="s">
        <v>250</v>
      </c>
      <c r="T39" s="114"/>
      <c r="U39" s="114"/>
    </row>
    <row r="40" spans="1:21" s="115" customFormat="1" ht="52.5" customHeight="1">
      <c r="A40" s="82"/>
      <c r="B40" s="110"/>
      <c r="C40" s="116"/>
      <c r="D40" s="112"/>
      <c r="E40" s="71">
        <v>5</v>
      </c>
      <c r="F40" s="118" t="s">
        <v>398</v>
      </c>
      <c r="G40" s="94" t="s">
        <v>361</v>
      </c>
      <c r="H40" s="95">
        <v>1</v>
      </c>
      <c r="I40" s="82" t="s">
        <v>255</v>
      </c>
      <c r="J40" s="119"/>
      <c r="K40" s="77"/>
      <c r="L40" s="77"/>
      <c r="M40" s="77">
        <v>5000000</v>
      </c>
      <c r="N40" s="77"/>
      <c r="O40" s="77"/>
      <c r="P40" s="77"/>
      <c r="Q40" s="78">
        <f t="shared" si="0"/>
        <v>5000000</v>
      </c>
      <c r="R40" s="57" t="s">
        <v>21</v>
      </c>
      <c r="S40" s="82" t="s">
        <v>250</v>
      </c>
      <c r="T40" s="114"/>
      <c r="U40" s="114"/>
    </row>
    <row r="41" spans="1:21" s="115" customFormat="1" ht="48" customHeight="1">
      <c r="A41" s="82"/>
      <c r="B41" s="110"/>
      <c r="C41" s="111"/>
      <c r="D41" s="112"/>
      <c r="E41" s="71">
        <v>6</v>
      </c>
      <c r="F41" s="113" t="s">
        <v>47</v>
      </c>
      <c r="G41" s="94" t="s">
        <v>361</v>
      </c>
      <c r="H41" s="95">
        <v>1</v>
      </c>
      <c r="I41" s="96" t="s">
        <v>255</v>
      </c>
      <c r="J41" s="119"/>
      <c r="K41" s="77">
        <v>2500000</v>
      </c>
      <c r="L41" s="77">
        <v>2500000</v>
      </c>
      <c r="M41" s="77">
        <v>2500000</v>
      </c>
      <c r="N41" s="77">
        <v>2500000</v>
      </c>
      <c r="O41" s="77">
        <v>2500000</v>
      </c>
      <c r="P41" s="77">
        <v>2500000</v>
      </c>
      <c r="Q41" s="78">
        <f t="shared" si="0"/>
        <v>15000000</v>
      </c>
      <c r="R41" s="97" t="s">
        <v>9</v>
      </c>
      <c r="S41" s="82" t="s">
        <v>250</v>
      </c>
      <c r="T41" s="114"/>
      <c r="U41" s="114"/>
    </row>
    <row r="42" spans="1:21" s="115" customFormat="1" ht="48" customHeight="1">
      <c r="A42" s="82"/>
      <c r="B42" s="110"/>
      <c r="C42" s="111"/>
      <c r="D42" s="112"/>
      <c r="E42" s="71">
        <v>7</v>
      </c>
      <c r="F42" s="112" t="s">
        <v>88</v>
      </c>
      <c r="G42" s="94" t="s">
        <v>361</v>
      </c>
      <c r="H42" s="95">
        <v>1</v>
      </c>
      <c r="I42" s="96" t="s">
        <v>255</v>
      </c>
      <c r="J42" s="119"/>
      <c r="K42" s="77">
        <v>4000000</v>
      </c>
      <c r="L42" s="77">
        <v>4000000</v>
      </c>
      <c r="M42" s="77">
        <v>4000000</v>
      </c>
      <c r="N42" s="77">
        <v>4000000</v>
      </c>
      <c r="O42" s="77">
        <v>4000000</v>
      </c>
      <c r="P42" s="77">
        <v>4000000</v>
      </c>
      <c r="Q42" s="78">
        <f t="shared" si="0"/>
        <v>24000000</v>
      </c>
      <c r="R42" s="97" t="s">
        <v>21</v>
      </c>
      <c r="S42" s="82" t="s">
        <v>250</v>
      </c>
      <c r="T42" s="114"/>
      <c r="U42" s="114"/>
    </row>
    <row r="43" spans="1:21" s="115" customFormat="1" ht="52.5" customHeight="1">
      <c r="A43" s="82"/>
      <c r="B43" s="110"/>
      <c r="C43" s="116"/>
      <c r="D43" s="112"/>
      <c r="E43" s="71"/>
      <c r="F43" s="120"/>
      <c r="G43" s="73"/>
      <c r="H43" s="121"/>
      <c r="I43" s="82"/>
      <c r="J43" s="119"/>
      <c r="K43" s="77"/>
      <c r="L43" s="77"/>
      <c r="M43" s="77"/>
      <c r="N43" s="77"/>
      <c r="O43" s="77"/>
      <c r="P43" s="77"/>
      <c r="Q43" s="78">
        <f t="shared" si="0"/>
        <v>0</v>
      </c>
      <c r="R43" s="57"/>
      <c r="S43" s="117"/>
      <c r="T43" s="114"/>
      <c r="U43" s="114"/>
    </row>
    <row r="44" spans="1:21" s="109" customFormat="1" ht="113.25" customHeight="1">
      <c r="A44" s="99"/>
      <c r="B44" s="100"/>
      <c r="C44" s="69" t="s">
        <v>399</v>
      </c>
      <c r="D44" s="70" t="s">
        <v>90</v>
      </c>
      <c r="E44" s="71"/>
      <c r="F44" s="72"/>
      <c r="G44" s="101"/>
      <c r="H44" s="102"/>
      <c r="I44" s="103"/>
      <c r="J44" s="122"/>
      <c r="K44" s="105"/>
      <c r="L44" s="105"/>
      <c r="M44" s="105"/>
      <c r="N44" s="105"/>
      <c r="O44" s="105"/>
      <c r="P44" s="105"/>
      <c r="Q44" s="78">
        <f t="shared" si="0"/>
        <v>0</v>
      </c>
      <c r="R44" s="106"/>
      <c r="S44" s="107"/>
      <c r="T44" s="108"/>
      <c r="U44" s="108"/>
    </row>
    <row r="45" spans="1:21" s="115" customFormat="1" ht="48" customHeight="1">
      <c r="A45" s="82"/>
      <c r="B45" s="110"/>
      <c r="C45" s="111"/>
      <c r="D45" s="112"/>
      <c r="E45" s="71">
        <v>1</v>
      </c>
      <c r="F45" s="113" t="s">
        <v>91</v>
      </c>
      <c r="G45" s="94" t="s">
        <v>361</v>
      </c>
      <c r="H45" s="95">
        <v>1</v>
      </c>
      <c r="I45" s="96" t="s">
        <v>255</v>
      </c>
      <c r="J45" s="119"/>
      <c r="K45" s="77">
        <v>2500000</v>
      </c>
      <c r="L45" s="77">
        <v>2500000</v>
      </c>
      <c r="M45" s="77">
        <v>2500000</v>
      </c>
      <c r="N45" s="77">
        <v>2500000</v>
      </c>
      <c r="O45" s="77">
        <v>2500000</v>
      </c>
      <c r="P45" s="77">
        <v>2500000</v>
      </c>
      <c r="Q45" s="78">
        <f t="shared" si="0"/>
        <v>15000000</v>
      </c>
      <c r="R45" s="97" t="s">
        <v>9</v>
      </c>
      <c r="S45" s="82" t="s">
        <v>250</v>
      </c>
      <c r="T45" s="114"/>
      <c r="U45" s="114"/>
    </row>
    <row r="46" spans="1:21" s="115" customFormat="1" ht="48" customHeight="1">
      <c r="A46" s="82"/>
      <c r="B46" s="110"/>
      <c r="C46" s="111"/>
      <c r="D46" s="112"/>
      <c r="E46" s="71">
        <v>2</v>
      </c>
      <c r="F46" s="112" t="s">
        <v>92</v>
      </c>
      <c r="G46" s="94" t="s">
        <v>361</v>
      </c>
      <c r="H46" s="95">
        <v>1</v>
      </c>
      <c r="I46" s="96" t="s">
        <v>255</v>
      </c>
      <c r="J46" s="119"/>
      <c r="K46" s="77">
        <v>3500000</v>
      </c>
      <c r="L46" s="77">
        <v>3500000</v>
      </c>
      <c r="M46" s="77">
        <v>3500000</v>
      </c>
      <c r="N46" s="77">
        <v>3500000</v>
      </c>
      <c r="O46" s="77">
        <v>3500000</v>
      </c>
      <c r="P46" s="77">
        <v>3500000</v>
      </c>
      <c r="Q46" s="78">
        <f t="shared" si="0"/>
        <v>21000000</v>
      </c>
      <c r="R46" s="97" t="s">
        <v>9</v>
      </c>
      <c r="S46" s="82" t="s">
        <v>250</v>
      </c>
      <c r="T46" s="114"/>
      <c r="U46" s="114"/>
    </row>
    <row r="47" spans="1:21" s="115" customFormat="1" ht="52.5" customHeight="1">
      <c r="A47" s="82"/>
      <c r="B47" s="110"/>
      <c r="C47" s="116"/>
      <c r="D47" s="112"/>
      <c r="E47" s="71">
        <v>3</v>
      </c>
      <c r="F47" s="113" t="s">
        <v>93</v>
      </c>
      <c r="G47" s="94" t="s">
        <v>361</v>
      </c>
      <c r="H47" s="95">
        <v>1</v>
      </c>
      <c r="I47" s="82" t="s">
        <v>255</v>
      </c>
      <c r="J47" s="119"/>
      <c r="K47" s="77">
        <v>10000000</v>
      </c>
      <c r="L47" s="77">
        <v>3000000</v>
      </c>
      <c r="M47" s="77">
        <v>3000000</v>
      </c>
      <c r="N47" s="77">
        <v>3000000</v>
      </c>
      <c r="O47" s="77">
        <v>3000000</v>
      </c>
      <c r="P47" s="77">
        <v>3000000</v>
      </c>
      <c r="Q47" s="78">
        <f t="shared" si="0"/>
        <v>25000000</v>
      </c>
      <c r="R47" s="57" t="s">
        <v>9</v>
      </c>
      <c r="S47" s="82" t="s">
        <v>250</v>
      </c>
      <c r="T47" s="114"/>
      <c r="U47" s="114"/>
    </row>
    <row r="48" spans="1:21" s="115" customFormat="1" ht="52.5" customHeight="1">
      <c r="A48" s="82"/>
      <c r="B48" s="110"/>
      <c r="C48" s="116"/>
      <c r="D48" s="112"/>
      <c r="E48" s="71">
        <v>4</v>
      </c>
      <c r="F48" s="118" t="s">
        <v>94</v>
      </c>
      <c r="G48" s="94" t="s">
        <v>361</v>
      </c>
      <c r="H48" s="95">
        <v>1</v>
      </c>
      <c r="I48" s="82" t="s">
        <v>255</v>
      </c>
      <c r="J48" s="119"/>
      <c r="K48" s="77">
        <v>3000000</v>
      </c>
      <c r="L48" s="77">
        <v>3000000</v>
      </c>
      <c r="M48" s="77">
        <v>3000000</v>
      </c>
      <c r="N48" s="77">
        <v>3000000</v>
      </c>
      <c r="O48" s="77">
        <v>3000000</v>
      </c>
      <c r="P48" s="77">
        <v>3000000</v>
      </c>
      <c r="Q48" s="78">
        <f t="shared" si="0"/>
        <v>18000000</v>
      </c>
      <c r="R48" s="57" t="s">
        <v>9</v>
      </c>
      <c r="S48" s="82" t="s">
        <v>250</v>
      </c>
      <c r="T48" s="114"/>
      <c r="U48" s="114"/>
    </row>
    <row r="49" spans="1:21" s="115" customFormat="1" ht="52.5" customHeight="1">
      <c r="A49" s="82"/>
      <c r="B49" s="110"/>
      <c r="C49" s="116"/>
      <c r="D49" s="112"/>
      <c r="E49" s="71">
        <v>5</v>
      </c>
      <c r="F49" s="118" t="s">
        <v>95</v>
      </c>
      <c r="G49" s="94" t="s">
        <v>384</v>
      </c>
      <c r="H49" s="95">
        <v>1</v>
      </c>
      <c r="I49" s="82" t="s">
        <v>385</v>
      </c>
      <c r="J49" s="119"/>
      <c r="K49" s="77">
        <v>2500000</v>
      </c>
      <c r="L49" s="77">
        <v>2500000</v>
      </c>
      <c r="M49" s="77">
        <v>2500000</v>
      </c>
      <c r="N49" s="77">
        <v>2500000</v>
      </c>
      <c r="O49" s="77">
        <v>2500000</v>
      </c>
      <c r="P49" s="77">
        <v>2500000</v>
      </c>
      <c r="Q49" s="78">
        <f t="shared" si="0"/>
        <v>15000000</v>
      </c>
      <c r="R49" s="57" t="s">
        <v>9</v>
      </c>
      <c r="S49" s="82" t="s">
        <v>250</v>
      </c>
      <c r="T49" s="114"/>
      <c r="U49" s="114"/>
    </row>
    <row r="50" spans="1:21" s="115" customFormat="1" ht="52.5" customHeight="1">
      <c r="A50" s="82"/>
      <c r="B50" s="110"/>
      <c r="C50" s="116"/>
      <c r="D50" s="112"/>
      <c r="E50" s="71">
        <v>6</v>
      </c>
      <c r="F50" s="112" t="s">
        <v>96</v>
      </c>
      <c r="G50" s="94" t="s">
        <v>361</v>
      </c>
      <c r="H50" s="95">
        <v>1</v>
      </c>
      <c r="I50" s="82" t="s">
        <v>255</v>
      </c>
      <c r="J50" s="119"/>
      <c r="K50" s="77">
        <v>3000000</v>
      </c>
      <c r="L50" s="77">
        <v>3000000</v>
      </c>
      <c r="M50" s="77">
        <v>3000000</v>
      </c>
      <c r="N50" s="77">
        <v>3000000</v>
      </c>
      <c r="O50" s="77">
        <v>3000000</v>
      </c>
      <c r="P50" s="77">
        <v>3000000</v>
      </c>
      <c r="Q50" s="78">
        <f t="shared" si="0"/>
        <v>18000000</v>
      </c>
      <c r="R50" s="57" t="s">
        <v>9</v>
      </c>
      <c r="S50" s="82" t="s">
        <v>250</v>
      </c>
      <c r="T50" s="114"/>
      <c r="U50" s="114"/>
    </row>
    <row r="51" spans="1:21" s="115" customFormat="1" ht="52.5" customHeight="1">
      <c r="A51" s="82"/>
      <c r="B51" s="110"/>
      <c r="C51" s="116"/>
      <c r="D51" s="112"/>
      <c r="E51" s="71">
        <v>7</v>
      </c>
      <c r="F51" s="113" t="s">
        <v>97</v>
      </c>
      <c r="G51" s="94" t="s">
        <v>389</v>
      </c>
      <c r="H51" s="95">
        <v>1</v>
      </c>
      <c r="I51" s="82" t="s">
        <v>255</v>
      </c>
      <c r="J51" s="119"/>
      <c r="K51" s="77">
        <v>2000000</v>
      </c>
      <c r="L51" s="77">
        <v>2000000</v>
      </c>
      <c r="M51" s="77">
        <v>2000000</v>
      </c>
      <c r="N51" s="77">
        <v>2000000</v>
      </c>
      <c r="O51" s="77">
        <v>2000000</v>
      </c>
      <c r="P51" s="77">
        <v>2000000</v>
      </c>
      <c r="Q51" s="78">
        <f t="shared" si="0"/>
        <v>12000000</v>
      </c>
      <c r="R51" s="57" t="s">
        <v>9</v>
      </c>
      <c r="S51" s="82" t="s">
        <v>250</v>
      </c>
      <c r="T51" s="114"/>
      <c r="U51" s="114"/>
    </row>
    <row r="52" spans="1:21" s="115" customFormat="1" ht="48" customHeight="1">
      <c r="A52" s="82"/>
      <c r="B52" s="110"/>
      <c r="C52" s="111"/>
      <c r="D52" s="112"/>
      <c r="E52" s="71">
        <v>8</v>
      </c>
      <c r="F52" s="118" t="s">
        <v>98</v>
      </c>
      <c r="G52" s="94" t="s">
        <v>361</v>
      </c>
      <c r="H52" s="95">
        <v>1</v>
      </c>
      <c r="I52" s="96" t="s">
        <v>255</v>
      </c>
      <c r="J52" s="119"/>
      <c r="K52" s="77">
        <v>3000000</v>
      </c>
      <c r="L52" s="77">
        <v>3000000</v>
      </c>
      <c r="M52" s="77">
        <v>3000000</v>
      </c>
      <c r="N52" s="77">
        <v>3000000</v>
      </c>
      <c r="O52" s="77">
        <v>3000000</v>
      </c>
      <c r="P52" s="77">
        <v>3000000</v>
      </c>
      <c r="Q52" s="78">
        <f t="shared" si="0"/>
        <v>18000000</v>
      </c>
      <c r="R52" s="97" t="s">
        <v>21</v>
      </c>
      <c r="S52" s="82" t="s">
        <v>250</v>
      </c>
      <c r="T52" s="114"/>
      <c r="U52" s="114"/>
    </row>
    <row r="53" spans="1:21" s="115" customFormat="1" ht="52.5" customHeight="1">
      <c r="A53" s="82"/>
      <c r="B53" s="110"/>
      <c r="C53" s="116"/>
      <c r="D53" s="112"/>
      <c r="E53" s="71">
        <v>9</v>
      </c>
      <c r="F53" s="113" t="s">
        <v>99</v>
      </c>
      <c r="G53" s="94" t="s">
        <v>361</v>
      </c>
      <c r="H53" s="95">
        <v>1</v>
      </c>
      <c r="I53" s="82" t="s">
        <v>255</v>
      </c>
      <c r="J53" s="119"/>
      <c r="K53" s="77">
        <v>1500000</v>
      </c>
      <c r="L53" s="77">
        <v>1500000</v>
      </c>
      <c r="M53" s="77">
        <v>1500000</v>
      </c>
      <c r="N53" s="77">
        <v>1500000</v>
      </c>
      <c r="O53" s="77">
        <v>1500000</v>
      </c>
      <c r="P53" s="77">
        <v>1500000</v>
      </c>
      <c r="Q53" s="78">
        <f t="shared" si="0"/>
        <v>9000000</v>
      </c>
      <c r="R53" s="57" t="s">
        <v>31</v>
      </c>
      <c r="S53" s="82" t="s">
        <v>250</v>
      </c>
      <c r="T53" s="114"/>
      <c r="U53" s="114"/>
    </row>
    <row r="54" spans="1:21" s="115" customFormat="1" ht="52.5" customHeight="1">
      <c r="A54" s="82"/>
      <c r="B54" s="110"/>
      <c r="C54" s="116"/>
      <c r="D54" s="112"/>
      <c r="E54" s="71">
        <v>10</v>
      </c>
      <c r="F54" s="112" t="s">
        <v>100</v>
      </c>
      <c r="G54" s="94" t="s">
        <v>361</v>
      </c>
      <c r="H54" s="95">
        <v>1</v>
      </c>
      <c r="I54" s="82" t="s">
        <v>255</v>
      </c>
      <c r="J54" s="119"/>
      <c r="K54" s="77"/>
      <c r="L54" s="77"/>
      <c r="M54" s="77"/>
      <c r="N54" s="77">
        <v>10000000</v>
      </c>
      <c r="O54" s="77"/>
      <c r="P54" s="77">
        <v>120000000</v>
      </c>
      <c r="Q54" s="78">
        <f t="shared" si="0"/>
        <v>130000000</v>
      </c>
      <c r="R54" s="57" t="s">
        <v>400</v>
      </c>
      <c r="S54" s="82" t="s">
        <v>250</v>
      </c>
      <c r="T54" s="114"/>
      <c r="U54" s="114"/>
    </row>
    <row r="55" spans="1:21" s="115" customFormat="1" ht="48" customHeight="1">
      <c r="A55" s="82"/>
      <c r="B55" s="110"/>
      <c r="C55" s="111"/>
      <c r="D55" s="112"/>
      <c r="E55" s="71">
        <v>12</v>
      </c>
      <c r="F55" s="118" t="s">
        <v>101</v>
      </c>
      <c r="G55" s="94" t="s">
        <v>361</v>
      </c>
      <c r="H55" s="95">
        <v>1</v>
      </c>
      <c r="I55" s="96" t="s">
        <v>255</v>
      </c>
      <c r="J55" s="119"/>
      <c r="K55" s="77">
        <v>1500000</v>
      </c>
      <c r="L55" s="77">
        <v>1500000</v>
      </c>
      <c r="M55" s="77">
        <v>1500000</v>
      </c>
      <c r="N55" s="77">
        <v>1500000</v>
      </c>
      <c r="O55" s="77">
        <v>1500000</v>
      </c>
      <c r="P55" s="77">
        <v>1500000</v>
      </c>
      <c r="Q55" s="78">
        <f t="shared" si="0"/>
        <v>9000000</v>
      </c>
      <c r="R55" s="97" t="s">
        <v>9</v>
      </c>
      <c r="S55" s="82" t="s">
        <v>250</v>
      </c>
      <c r="T55" s="114"/>
      <c r="U55" s="114"/>
    </row>
    <row r="56" spans="1:21" s="115" customFormat="1" ht="48" customHeight="1">
      <c r="A56" s="82"/>
      <c r="B56" s="110"/>
      <c r="C56" s="111"/>
      <c r="D56" s="112"/>
      <c r="E56" s="71">
        <v>13</v>
      </c>
      <c r="F56" s="112" t="s">
        <v>52</v>
      </c>
      <c r="G56" s="94" t="s">
        <v>361</v>
      </c>
      <c r="H56" s="95">
        <v>1</v>
      </c>
      <c r="I56" s="96" t="s">
        <v>255</v>
      </c>
      <c r="J56" s="119"/>
      <c r="K56" s="77"/>
      <c r="L56" s="77">
        <v>15000000</v>
      </c>
      <c r="M56" s="77"/>
      <c r="N56" s="77">
        <v>10000000</v>
      </c>
      <c r="O56" s="77"/>
      <c r="P56" s="77"/>
      <c r="Q56" s="78">
        <f t="shared" si="0"/>
        <v>25000000</v>
      </c>
      <c r="R56" s="97" t="s">
        <v>401</v>
      </c>
      <c r="S56" s="82" t="s">
        <v>250</v>
      </c>
      <c r="T56" s="114"/>
      <c r="U56" s="114"/>
    </row>
    <row r="57" spans="1:21" s="115" customFormat="1" ht="52.5" customHeight="1">
      <c r="A57" s="82"/>
      <c r="B57" s="110"/>
      <c r="C57" s="116"/>
      <c r="D57" s="112"/>
      <c r="E57" s="71">
        <v>14</v>
      </c>
      <c r="F57" s="113" t="s">
        <v>402</v>
      </c>
      <c r="G57" s="94" t="s">
        <v>361</v>
      </c>
      <c r="H57" s="95">
        <v>1</v>
      </c>
      <c r="I57" s="82" t="s">
        <v>255</v>
      </c>
      <c r="J57" s="119"/>
      <c r="K57" s="77"/>
      <c r="L57" s="77">
        <v>7500000</v>
      </c>
      <c r="M57" s="77"/>
      <c r="N57" s="77">
        <v>10000000</v>
      </c>
      <c r="O57" s="77"/>
      <c r="P57" s="77"/>
      <c r="Q57" s="78">
        <f t="shared" si="0"/>
        <v>17500000</v>
      </c>
      <c r="R57" s="57" t="s">
        <v>403</v>
      </c>
      <c r="S57" s="82" t="s">
        <v>250</v>
      </c>
      <c r="T57" s="114"/>
      <c r="U57" s="114"/>
    </row>
    <row r="58" spans="1:21" s="115" customFormat="1" ht="52.5" customHeight="1">
      <c r="A58" s="82"/>
      <c r="B58" s="110"/>
      <c r="C58" s="116"/>
      <c r="D58" s="112"/>
      <c r="E58" s="71">
        <v>15</v>
      </c>
      <c r="F58" s="118" t="s">
        <v>102</v>
      </c>
      <c r="G58" s="94" t="s">
        <v>361</v>
      </c>
      <c r="H58" s="95">
        <v>1</v>
      </c>
      <c r="I58" s="82" t="s">
        <v>255</v>
      </c>
      <c r="J58" s="119"/>
      <c r="K58" s="77"/>
      <c r="L58" s="77"/>
      <c r="M58" s="77"/>
      <c r="N58" s="77"/>
      <c r="O58" s="77">
        <v>30000000</v>
      </c>
      <c r="P58" s="77"/>
      <c r="Q58" s="78"/>
      <c r="R58" s="57" t="s">
        <v>21</v>
      </c>
      <c r="S58" s="82" t="s">
        <v>250</v>
      </c>
      <c r="T58" s="114"/>
      <c r="U58" s="114"/>
    </row>
    <row r="59" spans="1:21" s="115" customFormat="1" ht="52.5" customHeight="1">
      <c r="A59" s="82"/>
      <c r="B59" s="110"/>
      <c r="C59" s="116"/>
      <c r="D59" s="112"/>
      <c r="E59" s="71">
        <v>16</v>
      </c>
      <c r="F59" s="118" t="s">
        <v>103</v>
      </c>
      <c r="G59" s="94" t="s">
        <v>384</v>
      </c>
      <c r="H59" s="95">
        <v>1</v>
      </c>
      <c r="I59" s="82" t="s">
        <v>385</v>
      </c>
      <c r="J59" s="119"/>
      <c r="K59" s="77"/>
      <c r="L59" s="77"/>
      <c r="M59" s="77">
        <v>5000000</v>
      </c>
      <c r="N59" s="77"/>
      <c r="O59" s="77"/>
      <c r="P59" s="77"/>
      <c r="Q59" s="78"/>
      <c r="R59" s="57" t="s">
        <v>9</v>
      </c>
      <c r="S59" s="82" t="s">
        <v>250</v>
      </c>
      <c r="T59" s="114"/>
      <c r="U59" s="114"/>
    </row>
    <row r="60" spans="1:21" s="115" customFormat="1" ht="52.5" customHeight="1">
      <c r="A60" s="82"/>
      <c r="B60" s="110"/>
      <c r="C60" s="116"/>
      <c r="D60" s="112"/>
      <c r="E60" s="71">
        <v>17</v>
      </c>
      <c r="F60" s="112" t="s">
        <v>104</v>
      </c>
      <c r="G60" s="94" t="s">
        <v>361</v>
      </c>
      <c r="H60" s="95">
        <v>1</v>
      </c>
      <c r="I60" s="82" t="s">
        <v>255</v>
      </c>
      <c r="J60" s="119"/>
      <c r="K60" s="77"/>
      <c r="L60" s="77">
        <v>8000000</v>
      </c>
      <c r="M60" s="77"/>
      <c r="N60" s="77"/>
      <c r="O60" s="77"/>
      <c r="P60" s="77"/>
      <c r="Q60" s="78">
        <f t="shared" ref="Q60:Q71" si="2">SUM(K60:P60)</f>
        <v>8000000</v>
      </c>
      <c r="R60" s="57" t="s">
        <v>31</v>
      </c>
      <c r="S60" s="82" t="s">
        <v>250</v>
      </c>
      <c r="T60" s="114"/>
      <c r="U60" s="114"/>
    </row>
    <row r="61" spans="1:21" s="115" customFormat="1" ht="52.5" customHeight="1">
      <c r="A61" s="82"/>
      <c r="B61" s="110"/>
      <c r="C61" s="116"/>
      <c r="D61" s="112"/>
      <c r="E61" s="71">
        <v>18</v>
      </c>
      <c r="F61" s="113" t="s">
        <v>105</v>
      </c>
      <c r="G61" s="94" t="s">
        <v>389</v>
      </c>
      <c r="H61" s="95">
        <v>1</v>
      </c>
      <c r="I61" s="82" t="s">
        <v>255</v>
      </c>
      <c r="J61" s="119"/>
      <c r="K61" s="77">
        <v>2500000</v>
      </c>
      <c r="L61" s="77">
        <v>2500000</v>
      </c>
      <c r="M61" s="77">
        <v>2500000</v>
      </c>
      <c r="N61" s="77">
        <v>2500000</v>
      </c>
      <c r="O61" s="77">
        <v>2500000</v>
      </c>
      <c r="P61" s="77">
        <v>2500000</v>
      </c>
      <c r="Q61" s="78">
        <f t="shared" si="2"/>
        <v>15000000</v>
      </c>
      <c r="R61" s="57" t="s">
        <v>9</v>
      </c>
      <c r="S61" s="82" t="s">
        <v>250</v>
      </c>
      <c r="T61" s="114"/>
      <c r="U61" s="114"/>
    </row>
    <row r="62" spans="1:21" s="109" customFormat="1" ht="56.25" customHeight="1">
      <c r="A62" s="99"/>
      <c r="B62" s="100"/>
      <c r="C62" s="69" t="s">
        <v>404</v>
      </c>
      <c r="D62" s="70" t="s">
        <v>17</v>
      </c>
      <c r="E62" s="71"/>
      <c r="F62" s="72"/>
      <c r="G62" s="101"/>
      <c r="H62" s="102"/>
      <c r="I62" s="103"/>
      <c r="J62" s="122"/>
      <c r="K62" s="105"/>
      <c r="L62" s="105"/>
      <c r="M62" s="105"/>
      <c r="N62" s="105"/>
      <c r="O62" s="105"/>
      <c r="P62" s="105"/>
      <c r="Q62" s="78">
        <f t="shared" si="2"/>
        <v>0</v>
      </c>
      <c r="R62" s="106"/>
      <c r="S62" s="107"/>
      <c r="T62" s="108"/>
      <c r="U62" s="108"/>
    </row>
    <row r="63" spans="1:21" s="115" customFormat="1" ht="48" customHeight="1">
      <c r="A63" s="82"/>
      <c r="B63" s="110"/>
      <c r="C63" s="111"/>
      <c r="D63" s="112"/>
      <c r="E63" s="71">
        <v>1</v>
      </c>
      <c r="F63" s="113" t="s">
        <v>107</v>
      </c>
      <c r="G63" s="94" t="s">
        <v>361</v>
      </c>
      <c r="H63" s="95">
        <v>1</v>
      </c>
      <c r="I63" s="96" t="s">
        <v>255</v>
      </c>
      <c r="J63" s="119"/>
      <c r="K63" s="77"/>
      <c r="L63" s="77"/>
      <c r="M63" s="77"/>
      <c r="N63" s="77">
        <v>25000000</v>
      </c>
      <c r="O63" s="77"/>
      <c r="P63" s="77"/>
      <c r="Q63" s="78">
        <f t="shared" si="2"/>
        <v>25000000</v>
      </c>
      <c r="R63" s="97" t="s">
        <v>400</v>
      </c>
      <c r="S63" s="82" t="s">
        <v>250</v>
      </c>
      <c r="T63" s="114"/>
      <c r="U63" s="114"/>
    </row>
    <row r="64" spans="1:21" s="115" customFormat="1" ht="48" customHeight="1">
      <c r="A64" s="82"/>
      <c r="B64" s="110"/>
      <c r="C64" s="111"/>
      <c r="D64" s="112"/>
      <c r="E64" s="71">
        <v>2</v>
      </c>
      <c r="F64" s="112" t="s">
        <v>108</v>
      </c>
      <c r="G64" s="94" t="s">
        <v>361</v>
      </c>
      <c r="H64" s="95">
        <v>1</v>
      </c>
      <c r="I64" s="96" t="s">
        <v>255</v>
      </c>
      <c r="J64" s="119"/>
      <c r="K64" s="77"/>
      <c r="L64" s="77">
        <f>150000*500</f>
        <v>75000000</v>
      </c>
      <c r="M64" s="77"/>
      <c r="N64" s="77">
        <f>150000*500</f>
        <v>75000000</v>
      </c>
      <c r="O64" s="77"/>
      <c r="P64" s="77">
        <f>150000*500</f>
        <v>75000000</v>
      </c>
      <c r="Q64" s="78">
        <f t="shared" si="2"/>
        <v>225000000</v>
      </c>
      <c r="R64" s="97" t="s">
        <v>405</v>
      </c>
      <c r="S64" s="82" t="s">
        <v>250</v>
      </c>
      <c r="T64" s="114"/>
      <c r="U64" s="114"/>
    </row>
    <row r="65" spans="1:21" s="115" customFormat="1" ht="52.5" customHeight="1">
      <c r="A65" s="82"/>
      <c r="B65" s="110"/>
      <c r="C65" s="116"/>
      <c r="D65" s="112"/>
      <c r="E65" s="71">
        <v>3</v>
      </c>
      <c r="F65" s="118" t="s">
        <v>406</v>
      </c>
      <c r="G65" s="94" t="s">
        <v>384</v>
      </c>
      <c r="H65" s="95">
        <v>1</v>
      </c>
      <c r="I65" s="82" t="s">
        <v>385</v>
      </c>
      <c r="J65" s="119"/>
      <c r="K65" s="77">
        <v>1500000</v>
      </c>
      <c r="L65" s="77">
        <v>1500000</v>
      </c>
      <c r="M65" s="77">
        <v>1500000</v>
      </c>
      <c r="N65" s="77">
        <v>1500000</v>
      </c>
      <c r="O65" s="77">
        <v>1500000</v>
      </c>
      <c r="P65" s="77">
        <v>1500000</v>
      </c>
      <c r="Q65" s="78">
        <f t="shared" si="2"/>
        <v>9000000</v>
      </c>
      <c r="R65" s="57" t="s">
        <v>397</v>
      </c>
      <c r="S65" s="82" t="s">
        <v>250</v>
      </c>
      <c r="T65" s="114"/>
      <c r="U65" s="114"/>
    </row>
    <row r="66" spans="1:21" s="115" customFormat="1" ht="52.5" customHeight="1">
      <c r="A66" s="82"/>
      <c r="B66" s="110"/>
      <c r="C66" s="116"/>
      <c r="D66" s="112"/>
      <c r="E66" s="71">
        <v>4</v>
      </c>
      <c r="F66" s="112" t="s">
        <v>109</v>
      </c>
      <c r="G66" s="94" t="s">
        <v>361</v>
      </c>
      <c r="H66" s="95">
        <v>1</v>
      </c>
      <c r="I66" s="82" t="s">
        <v>255</v>
      </c>
      <c r="J66" s="119"/>
      <c r="K66" s="77">
        <v>3000000</v>
      </c>
      <c r="L66" s="77">
        <v>3000000</v>
      </c>
      <c r="M66" s="77">
        <v>3000000</v>
      </c>
      <c r="N66" s="77">
        <v>3000000</v>
      </c>
      <c r="O66" s="77">
        <v>3000000</v>
      </c>
      <c r="P66" s="77">
        <v>3000000</v>
      </c>
      <c r="Q66" s="78">
        <f t="shared" si="2"/>
        <v>18000000</v>
      </c>
      <c r="R66" s="57" t="s">
        <v>407</v>
      </c>
      <c r="S66" s="82" t="s">
        <v>250</v>
      </c>
      <c r="T66" s="114"/>
      <c r="U66" s="114"/>
    </row>
    <row r="67" spans="1:21" s="115" customFormat="1" ht="52.5" customHeight="1">
      <c r="A67" s="82"/>
      <c r="B67" s="110"/>
      <c r="C67" s="116"/>
      <c r="D67" s="112"/>
      <c r="E67" s="71">
        <v>5</v>
      </c>
      <c r="F67" s="113" t="s">
        <v>110</v>
      </c>
      <c r="G67" s="94" t="s">
        <v>389</v>
      </c>
      <c r="H67" s="95">
        <v>1</v>
      </c>
      <c r="I67" s="82" t="s">
        <v>255</v>
      </c>
      <c r="J67" s="119"/>
      <c r="K67" s="77"/>
      <c r="L67" s="77">
        <v>15000000</v>
      </c>
      <c r="M67" s="77"/>
      <c r="N67" s="77"/>
      <c r="O67" s="77">
        <v>15000000</v>
      </c>
      <c r="P67" s="77"/>
      <c r="Q67" s="78">
        <f t="shared" si="2"/>
        <v>30000000</v>
      </c>
      <c r="R67" s="57" t="s">
        <v>400</v>
      </c>
      <c r="S67" s="82" t="s">
        <v>250</v>
      </c>
      <c r="T67" s="114"/>
      <c r="U67" s="114"/>
    </row>
    <row r="68" spans="1:21" s="115" customFormat="1" ht="48" customHeight="1">
      <c r="A68" s="82"/>
      <c r="B68" s="110"/>
      <c r="C68" s="111"/>
      <c r="D68" s="112"/>
      <c r="E68" s="71">
        <v>6</v>
      </c>
      <c r="F68" s="118" t="s">
        <v>111</v>
      </c>
      <c r="G68" s="94" t="s">
        <v>361</v>
      </c>
      <c r="H68" s="95">
        <v>1</v>
      </c>
      <c r="I68" s="96" t="s">
        <v>255</v>
      </c>
      <c r="J68" s="119"/>
      <c r="K68" s="77"/>
      <c r="L68" s="77"/>
      <c r="M68" s="77">
        <v>500000000</v>
      </c>
      <c r="N68" s="77"/>
      <c r="O68" s="77"/>
      <c r="P68" s="77"/>
      <c r="Q68" s="78">
        <f t="shared" si="2"/>
        <v>500000000</v>
      </c>
      <c r="R68" s="97" t="s">
        <v>408</v>
      </c>
      <c r="S68" s="82" t="s">
        <v>250</v>
      </c>
      <c r="T68" s="114"/>
      <c r="U68" s="114"/>
    </row>
    <row r="69" spans="1:21" s="115" customFormat="1" ht="48" customHeight="1">
      <c r="A69" s="82"/>
      <c r="B69" s="110"/>
      <c r="C69" s="111"/>
      <c r="D69" s="112"/>
      <c r="E69" s="71">
        <v>8</v>
      </c>
      <c r="F69" s="118" t="s">
        <v>112</v>
      </c>
      <c r="G69" s="94" t="s">
        <v>361</v>
      </c>
      <c r="H69" s="95">
        <v>1</v>
      </c>
      <c r="I69" s="96" t="s">
        <v>255</v>
      </c>
      <c r="J69" s="119"/>
      <c r="K69" s="77">
        <v>4000000</v>
      </c>
      <c r="L69" s="77">
        <v>4000000</v>
      </c>
      <c r="M69" s="77">
        <v>4000000</v>
      </c>
      <c r="N69" s="77"/>
      <c r="O69" s="77"/>
      <c r="P69" s="77"/>
      <c r="Q69" s="78">
        <f t="shared" si="2"/>
        <v>12000000</v>
      </c>
      <c r="R69" s="97" t="s">
        <v>9</v>
      </c>
      <c r="S69" s="82" t="s">
        <v>250</v>
      </c>
      <c r="T69" s="114"/>
      <c r="U69" s="114"/>
    </row>
    <row r="70" spans="1:21" s="115" customFormat="1" ht="48" customHeight="1">
      <c r="A70" s="82"/>
      <c r="B70" s="110"/>
      <c r="C70" s="111"/>
      <c r="D70" s="112"/>
      <c r="E70" s="71">
        <v>9</v>
      </c>
      <c r="F70" s="112" t="s">
        <v>51</v>
      </c>
      <c r="G70" s="94" t="s">
        <v>361</v>
      </c>
      <c r="H70" s="95">
        <v>1</v>
      </c>
      <c r="I70" s="96" t="s">
        <v>255</v>
      </c>
      <c r="J70" s="119"/>
      <c r="K70" s="77">
        <v>8000000</v>
      </c>
      <c r="L70" s="77">
        <v>8000000</v>
      </c>
      <c r="M70" s="77">
        <v>8000000</v>
      </c>
      <c r="N70" s="77">
        <v>8000000</v>
      </c>
      <c r="O70" s="77">
        <v>8000000</v>
      </c>
      <c r="P70" s="77">
        <v>8000000</v>
      </c>
      <c r="Q70" s="78">
        <f t="shared" si="2"/>
        <v>48000000</v>
      </c>
      <c r="R70" s="97" t="s">
        <v>407</v>
      </c>
      <c r="S70" s="82" t="s">
        <v>250</v>
      </c>
      <c r="T70" s="114"/>
      <c r="U70" s="114"/>
    </row>
    <row r="71" spans="1:21" s="115" customFormat="1" ht="52.5" customHeight="1">
      <c r="A71" s="82"/>
      <c r="B71" s="110"/>
      <c r="C71" s="116"/>
      <c r="D71" s="112"/>
      <c r="E71" s="71">
        <v>10</v>
      </c>
      <c r="F71" s="113" t="s">
        <v>113</v>
      </c>
      <c r="G71" s="94" t="s">
        <v>361</v>
      </c>
      <c r="H71" s="95">
        <v>1</v>
      </c>
      <c r="I71" s="82" t="s">
        <v>255</v>
      </c>
      <c r="J71" s="119"/>
      <c r="K71" s="77"/>
      <c r="L71" s="77"/>
      <c r="M71" s="77"/>
      <c r="N71" s="77">
        <v>10000000</v>
      </c>
      <c r="O71" s="77"/>
      <c r="P71" s="77"/>
      <c r="Q71" s="78">
        <f t="shared" si="2"/>
        <v>10000000</v>
      </c>
      <c r="R71" s="57" t="s">
        <v>400</v>
      </c>
      <c r="S71" s="82" t="s">
        <v>250</v>
      </c>
      <c r="T71" s="114"/>
      <c r="U71" s="114"/>
    </row>
    <row r="72" spans="1:21" s="127" customFormat="1" ht="41.25" customHeight="1">
      <c r="A72" s="680" t="s">
        <v>409</v>
      </c>
      <c r="B72" s="680"/>
      <c r="C72" s="680"/>
      <c r="D72" s="680"/>
      <c r="E72" s="680"/>
      <c r="F72" s="680"/>
      <c r="G72" s="680"/>
      <c r="H72" s="680"/>
      <c r="I72" s="680"/>
      <c r="J72" s="680"/>
      <c r="K72" s="123"/>
      <c r="L72" s="123"/>
      <c r="M72" s="123"/>
      <c r="N72" s="123"/>
      <c r="O72" s="123"/>
      <c r="P72" s="123"/>
      <c r="Q72" s="123"/>
      <c r="R72" s="124"/>
      <c r="S72" s="125"/>
      <c r="T72" s="126"/>
      <c r="U72" s="126"/>
    </row>
    <row r="73" spans="1:21" ht="54">
      <c r="A73" s="67">
        <v>2</v>
      </c>
      <c r="B73" s="100" t="s">
        <v>410</v>
      </c>
      <c r="C73" s="56" t="s">
        <v>36</v>
      </c>
      <c r="D73" s="70" t="s">
        <v>411</v>
      </c>
      <c r="E73" s="71"/>
      <c r="F73" s="128"/>
      <c r="G73" s="73"/>
      <c r="H73" s="74"/>
      <c r="I73" s="82"/>
      <c r="J73" s="119"/>
      <c r="K73" s="77"/>
      <c r="L73" s="77"/>
      <c r="M73" s="77"/>
      <c r="N73" s="77"/>
      <c r="O73" s="77"/>
      <c r="P73" s="77"/>
      <c r="Q73" s="78"/>
      <c r="R73" s="57"/>
      <c r="S73" s="129"/>
      <c r="T73" s="130"/>
      <c r="U73" s="130"/>
    </row>
    <row r="74" spans="1:21" s="115" customFormat="1" ht="67.5" customHeight="1">
      <c r="A74" s="82"/>
      <c r="B74" s="110"/>
      <c r="C74" s="57"/>
      <c r="D74" s="131"/>
      <c r="E74" s="132">
        <v>1</v>
      </c>
      <c r="F74" s="133" t="s">
        <v>117</v>
      </c>
      <c r="G74" s="93"/>
      <c r="H74" s="95"/>
      <c r="I74" s="96"/>
      <c r="J74" s="119"/>
      <c r="K74" s="77"/>
      <c r="L74" s="77"/>
      <c r="M74" s="77"/>
      <c r="N74" s="77"/>
      <c r="O74" s="77"/>
      <c r="P74" s="77"/>
      <c r="Q74" s="78"/>
      <c r="R74" s="57"/>
      <c r="S74" s="117"/>
      <c r="T74" s="114"/>
      <c r="U74" s="114"/>
    </row>
    <row r="75" spans="1:21" s="115" customFormat="1" ht="42" customHeight="1">
      <c r="A75" s="82"/>
      <c r="B75" s="110"/>
      <c r="C75" s="57"/>
      <c r="D75" s="131"/>
      <c r="E75" s="132" t="s">
        <v>236</v>
      </c>
      <c r="F75" s="112" t="s">
        <v>412</v>
      </c>
      <c r="G75" s="93" t="s">
        <v>277</v>
      </c>
      <c r="H75" s="95">
        <v>1</v>
      </c>
      <c r="I75" s="96" t="s">
        <v>255</v>
      </c>
      <c r="J75" s="119" t="s">
        <v>413</v>
      </c>
      <c r="K75" s="77"/>
      <c r="L75" s="77">
        <v>7500000</v>
      </c>
      <c r="M75" s="77"/>
      <c r="N75" s="77"/>
      <c r="O75" s="77"/>
      <c r="P75" s="77"/>
      <c r="Q75" s="78">
        <f>SUM(K75:P75)</f>
        <v>7500000</v>
      </c>
      <c r="R75" s="57" t="s">
        <v>21</v>
      </c>
      <c r="S75" s="82" t="s">
        <v>250</v>
      </c>
      <c r="T75" s="114"/>
      <c r="U75" s="114"/>
    </row>
    <row r="76" spans="1:21" s="115" customFormat="1" ht="42" customHeight="1">
      <c r="A76" s="82"/>
      <c r="B76" s="110"/>
      <c r="C76" s="57"/>
      <c r="D76" s="131"/>
      <c r="E76" s="132" t="s">
        <v>237</v>
      </c>
      <c r="F76" s="112" t="s">
        <v>414</v>
      </c>
      <c r="G76" s="93" t="s">
        <v>284</v>
      </c>
      <c r="H76" s="95">
        <v>1</v>
      </c>
      <c r="I76" s="96" t="s">
        <v>255</v>
      </c>
      <c r="J76" s="119" t="s">
        <v>413</v>
      </c>
      <c r="K76" s="77"/>
      <c r="L76" s="77">
        <v>7500000</v>
      </c>
      <c r="M76" s="77"/>
      <c r="N76" s="77"/>
      <c r="O76" s="77"/>
      <c r="P76" s="77"/>
      <c r="Q76" s="78">
        <f t="shared" ref="Q76:Q126" si="3">SUM(K76:P76)</f>
        <v>7500000</v>
      </c>
      <c r="R76" s="57" t="s">
        <v>21</v>
      </c>
      <c r="S76" s="82" t="s">
        <v>250</v>
      </c>
      <c r="T76" s="114"/>
      <c r="U76" s="114"/>
    </row>
    <row r="77" spans="1:21" s="115" customFormat="1" ht="42" customHeight="1">
      <c r="A77" s="82"/>
      <c r="B77" s="110"/>
      <c r="C77" s="57"/>
      <c r="D77" s="131"/>
      <c r="E77" s="132" t="s">
        <v>238</v>
      </c>
      <c r="F77" s="112" t="s">
        <v>415</v>
      </c>
      <c r="G77" s="93" t="s">
        <v>275</v>
      </c>
      <c r="H77" s="95">
        <v>1</v>
      </c>
      <c r="I77" s="96" t="s">
        <v>255</v>
      </c>
      <c r="J77" s="85" t="s">
        <v>416</v>
      </c>
      <c r="K77" s="77"/>
      <c r="L77" s="77"/>
      <c r="M77" s="77"/>
      <c r="N77" s="77">
        <v>7500000</v>
      </c>
      <c r="O77" s="77"/>
      <c r="P77" s="77"/>
      <c r="Q77" s="78">
        <f t="shared" si="3"/>
        <v>7500000</v>
      </c>
      <c r="R77" s="57" t="s">
        <v>21</v>
      </c>
      <c r="S77" s="82" t="s">
        <v>250</v>
      </c>
      <c r="T77" s="114"/>
      <c r="U77" s="114"/>
    </row>
    <row r="78" spans="1:21" s="115" customFormat="1" ht="42" customHeight="1">
      <c r="A78" s="82"/>
      <c r="B78" s="110"/>
      <c r="C78" s="57"/>
      <c r="D78" s="131"/>
      <c r="E78" s="132" t="s">
        <v>239</v>
      </c>
      <c r="F78" s="112" t="s">
        <v>417</v>
      </c>
      <c r="G78" s="93" t="s">
        <v>264</v>
      </c>
      <c r="H78" s="95">
        <v>1</v>
      </c>
      <c r="I78" s="96" t="s">
        <v>255</v>
      </c>
      <c r="J78" s="119" t="str">
        <f>J76</f>
        <v>Siswa Tk</v>
      </c>
      <c r="K78" s="77"/>
      <c r="L78" s="77">
        <v>3000000</v>
      </c>
      <c r="M78" s="77"/>
      <c r="N78" s="77"/>
      <c r="O78" s="77"/>
      <c r="P78" s="77"/>
      <c r="Q78" s="78">
        <f t="shared" si="3"/>
        <v>3000000</v>
      </c>
      <c r="R78" s="57" t="s">
        <v>21</v>
      </c>
      <c r="S78" s="82" t="s">
        <v>250</v>
      </c>
      <c r="T78" s="114"/>
      <c r="U78" s="114"/>
    </row>
    <row r="79" spans="1:21" s="115" customFormat="1" ht="42" customHeight="1">
      <c r="A79" s="82"/>
      <c r="B79" s="110"/>
      <c r="C79" s="57"/>
      <c r="D79" s="131"/>
      <c r="E79" s="132" t="s">
        <v>240</v>
      </c>
      <c r="F79" s="112" t="s">
        <v>418</v>
      </c>
      <c r="G79" s="93" t="s">
        <v>264</v>
      </c>
      <c r="H79" s="95">
        <v>1</v>
      </c>
      <c r="I79" s="96" t="s">
        <v>255</v>
      </c>
      <c r="J79" s="119" t="s">
        <v>419</v>
      </c>
      <c r="K79" s="77"/>
      <c r="L79" s="77"/>
      <c r="M79" s="77">
        <v>10000000</v>
      </c>
      <c r="N79" s="77"/>
      <c r="O79" s="77"/>
      <c r="P79" s="77"/>
      <c r="Q79" s="78">
        <f t="shared" si="3"/>
        <v>10000000</v>
      </c>
      <c r="R79" s="57" t="s">
        <v>21</v>
      </c>
      <c r="S79" s="82" t="s">
        <v>250</v>
      </c>
      <c r="T79" s="114"/>
      <c r="U79" s="114"/>
    </row>
    <row r="80" spans="1:21" s="115" customFormat="1" ht="42" customHeight="1">
      <c r="A80" s="82"/>
      <c r="B80" s="110"/>
      <c r="C80" s="57"/>
      <c r="D80" s="131"/>
      <c r="E80" s="132" t="s">
        <v>241</v>
      </c>
      <c r="F80" s="112" t="s">
        <v>420</v>
      </c>
      <c r="G80" s="93" t="s">
        <v>227</v>
      </c>
      <c r="H80" s="95">
        <v>1</v>
      </c>
      <c r="I80" s="96" t="s">
        <v>255</v>
      </c>
      <c r="J80" s="119" t="s">
        <v>416</v>
      </c>
      <c r="K80" s="77"/>
      <c r="L80" s="77"/>
      <c r="M80" s="77"/>
      <c r="N80" s="77"/>
      <c r="O80" s="77">
        <v>7500000</v>
      </c>
      <c r="P80" s="77"/>
      <c r="Q80" s="78">
        <f t="shared" si="3"/>
        <v>7500000</v>
      </c>
      <c r="R80" s="57" t="s">
        <v>21</v>
      </c>
      <c r="S80" s="82" t="s">
        <v>250</v>
      </c>
      <c r="T80" s="114"/>
      <c r="U80" s="114"/>
    </row>
    <row r="81" spans="1:21" s="115" customFormat="1" ht="42" customHeight="1">
      <c r="A81" s="82"/>
      <c r="B81" s="110"/>
      <c r="C81" s="57"/>
      <c r="D81" s="131"/>
      <c r="E81" s="132" t="s">
        <v>242</v>
      </c>
      <c r="F81" s="116" t="s">
        <v>421</v>
      </c>
      <c r="G81" s="93" t="s">
        <v>227</v>
      </c>
      <c r="H81" s="95">
        <v>1</v>
      </c>
      <c r="I81" s="96" t="s">
        <v>255</v>
      </c>
      <c r="J81" s="119" t="s">
        <v>413</v>
      </c>
      <c r="K81" s="77"/>
      <c r="L81" s="77"/>
      <c r="M81" s="77"/>
      <c r="N81" s="77"/>
      <c r="O81" s="77">
        <v>7500000</v>
      </c>
      <c r="P81" s="77"/>
      <c r="Q81" s="78">
        <f t="shared" si="3"/>
        <v>7500000</v>
      </c>
      <c r="R81" s="57" t="s">
        <v>21</v>
      </c>
      <c r="S81" s="82" t="s">
        <v>250</v>
      </c>
      <c r="T81" s="114"/>
      <c r="U81" s="114"/>
    </row>
    <row r="82" spans="1:21" s="115" customFormat="1" ht="42" customHeight="1">
      <c r="A82" s="82"/>
      <c r="B82" s="110"/>
      <c r="C82" s="57"/>
      <c r="D82" s="131"/>
      <c r="E82" s="132">
        <v>2</v>
      </c>
      <c r="F82" s="133" t="s">
        <v>122</v>
      </c>
      <c r="G82" s="94"/>
      <c r="H82" s="95"/>
      <c r="I82" s="96"/>
      <c r="J82" s="119"/>
      <c r="K82" s="77"/>
      <c r="L82" s="77"/>
      <c r="M82" s="77"/>
      <c r="N82" s="77"/>
      <c r="O82" s="77"/>
      <c r="P82" s="77"/>
      <c r="Q82" s="78">
        <f t="shared" si="3"/>
        <v>0</v>
      </c>
      <c r="R82" s="57"/>
      <c r="S82" s="117"/>
      <c r="T82" s="114"/>
      <c r="U82" s="114"/>
    </row>
    <row r="83" spans="1:21" s="115" customFormat="1" ht="42" customHeight="1">
      <c r="A83" s="82"/>
      <c r="B83" s="110"/>
      <c r="C83" s="57"/>
      <c r="D83" s="131"/>
      <c r="E83" s="132" t="s">
        <v>236</v>
      </c>
      <c r="F83" s="112" t="s">
        <v>422</v>
      </c>
      <c r="G83" s="94" t="s">
        <v>277</v>
      </c>
      <c r="H83" s="95">
        <v>1</v>
      </c>
      <c r="I83" s="96" t="s">
        <v>255</v>
      </c>
      <c r="J83" s="119"/>
      <c r="K83" s="77"/>
      <c r="L83" s="77"/>
      <c r="M83" s="77"/>
      <c r="N83" s="77">
        <v>75000000</v>
      </c>
      <c r="O83" s="77"/>
      <c r="P83" s="77"/>
      <c r="Q83" s="78">
        <f t="shared" si="3"/>
        <v>75000000</v>
      </c>
      <c r="R83" s="97" t="s">
        <v>21</v>
      </c>
      <c r="S83" s="82" t="s">
        <v>250</v>
      </c>
      <c r="T83" s="114"/>
      <c r="U83" s="114"/>
    </row>
    <row r="84" spans="1:21" s="115" customFormat="1" ht="42" customHeight="1">
      <c r="A84" s="82"/>
      <c r="B84" s="110"/>
      <c r="C84" s="57"/>
      <c r="D84" s="131"/>
      <c r="E84" s="132" t="s">
        <v>237</v>
      </c>
      <c r="F84" s="112" t="s">
        <v>423</v>
      </c>
      <c r="G84" s="94" t="s">
        <v>269</v>
      </c>
      <c r="H84" s="95">
        <v>1</v>
      </c>
      <c r="I84" s="96" t="s">
        <v>255</v>
      </c>
      <c r="J84" s="119"/>
      <c r="K84" s="77"/>
      <c r="L84" s="77"/>
      <c r="M84" s="77">
        <v>75000000</v>
      </c>
      <c r="N84" s="77"/>
      <c r="O84" s="77"/>
      <c r="P84" s="77"/>
      <c r="Q84" s="78">
        <f t="shared" si="3"/>
        <v>75000000</v>
      </c>
      <c r="R84" s="57" t="s">
        <v>397</v>
      </c>
      <c r="S84" s="82" t="s">
        <v>250</v>
      </c>
      <c r="T84" s="114"/>
      <c r="U84" s="114"/>
    </row>
    <row r="85" spans="1:21" s="115" customFormat="1" ht="42" customHeight="1">
      <c r="A85" s="82"/>
      <c r="B85" s="110"/>
      <c r="C85" s="57"/>
      <c r="D85" s="131"/>
      <c r="E85" s="132" t="s">
        <v>238</v>
      </c>
      <c r="F85" s="112" t="s">
        <v>424</v>
      </c>
      <c r="G85" s="94" t="s">
        <v>269</v>
      </c>
      <c r="H85" s="95">
        <v>1</v>
      </c>
      <c r="I85" s="96" t="s">
        <v>255</v>
      </c>
      <c r="J85" s="119"/>
      <c r="K85" s="77"/>
      <c r="L85" s="77">
        <v>75000000</v>
      </c>
      <c r="M85" s="77"/>
      <c r="N85" s="77"/>
      <c r="O85" s="77"/>
      <c r="P85" s="77"/>
      <c r="Q85" s="78">
        <f t="shared" si="3"/>
        <v>75000000</v>
      </c>
      <c r="R85" s="57" t="s">
        <v>397</v>
      </c>
      <c r="S85" s="82" t="s">
        <v>250</v>
      </c>
      <c r="T85" s="114"/>
      <c r="U85" s="114"/>
    </row>
    <row r="86" spans="1:21" s="115" customFormat="1" ht="42" customHeight="1">
      <c r="A86" s="82"/>
      <c r="B86" s="110"/>
      <c r="C86" s="57"/>
      <c r="D86" s="131"/>
      <c r="E86" s="132" t="s">
        <v>239</v>
      </c>
      <c r="F86" s="112" t="s">
        <v>425</v>
      </c>
      <c r="G86" s="94" t="s">
        <v>264</v>
      </c>
      <c r="H86" s="95">
        <v>1</v>
      </c>
      <c r="I86" s="96" t="s">
        <v>255</v>
      </c>
      <c r="J86" s="119"/>
      <c r="K86" s="77"/>
      <c r="L86" s="77"/>
      <c r="M86" s="77"/>
      <c r="N86" s="77">
        <v>30000000</v>
      </c>
      <c r="O86" s="77"/>
      <c r="P86" s="77"/>
      <c r="Q86" s="78">
        <f t="shared" si="3"/>
        <v>30000000</v>
      </c>
      <c r="R86" s="57" t="s">
        <v>397</v>
      </c>
      <c r="S86" s="82" t="s">
        <v>250</v>
      </c>
      <c r="T86" s="114"/>
      <c r="U86" s="114"/>
    </row>
    <row r="87" spans="1:21" s="115" customFormat="1" ht="42" customHeight="1">
      <c r="A87" s="82"/>
      <c r="B87" s="110"/>
      <c r="C87" s="57"/>
      <c r="D87" s="131"/>
      <c r="E87" s="132" t="s">
        <v>240</v>
      </c>
      <c r="F87" s="112" t="s">
        <v>426</v>
      </c>
      <c r="G87" s="94" t="s">
        <v>275</v>
      </c>
      <c r="H87" s="95">
        <v>1</v>
      </c>
      <c r="I87" s="96" t="s">
        <v>255</v>
      </c>
      <c r="J87" s="119"/>
      <c r="K87" s="77"/>
      <c r="L87" s="77">
        <v>30000000</v>
      </c>
      <c r="M87" s="77"/>
      <c r="N87" s="77"/>
      <c r="O87" s="77"/>
      <c r="P87" s="77"/>
      <c r="Q87" s="78">
        <f t="shared" si="3"/>
        <v>30000000</v>
      </c>
      <c r="R87" s="57" t="s">
        <v>397</v>
      </c>
      <c r="S87" s="82" t="s">
        <v>250</v>
      </c>
      <c r="T87" s="114"/>
      <c r="U87" s="114"/>
    </row>
    <row r="88" spans="1:21" s="115" customFormat="1" ht="42" customHeight="1">
      <c r="A88" s="82"/>
      <c r="B88" s="110"/>
      <c r="C88" s="57"/>
      <c r="D88" s="131"/>
      <c r="E88" s="132" t="s">
        <v>241</v>
      </c>
      <c r="F88" s="112" t="s">
        <v>427</v>
      </c>
      <c r="G88" s="94" t="s">
        <v>284</v>
      </c>
      <c r="H88" s="95">
        <v>1</v>
      </c>
      <c r="I88" s="96" t="s">
        <v>255</v>
      </c>
      <c r="J88" s="119"/>
      <c r="K88" s="77"/>
      <c r="L88" s="77"/>
      <c r="M88" s="77">
        <v>25000000</v>
      </c>
      <c r="N88" s="77"/>
      <c r="O88" s="77"/>
      <c r="P88" s="77"/>
      <c r="Q88" s="78">
        <f t="shared" si="3"/>
        <v>25000000</v>
      </c>
      <c r="R88" s="57" t="s">
        <v>397</v>
      </c>
      <c r="S88" s="82" t="s">
        <v>250</v>
      </c>
      <c r="T88" s="114"/>
      <c r="U88" s="114"/>
    </row>
    <row r="89" spans="1:21" s="115" customFormat="1" ht="42" customHeight="1">
      <c r="A89" s="82"/>
      <c r="B89" s="110"/>
      <c r="C89" s="57"/>
      <c r="D89" s="131"/>
      <c r="E89" s="132" t="s">
        <v>242</v>
      </c>
      <c r="F89" s="112" t="s">
        <v>428</v>
      </c>
      <c r="G89" s="94" t="s">
        <v>264</v>
      </c>
      <c r="H89" s="95">
        <v>1</v>
      </c>
      <c r="I89" s="96" t="s">
        <v>255</v>
      </c>
      <c r="J89" s="119"/>
      <c r="K89" s="77"/>
      <c r="L89" s="77">
        <v>15000000</v>
      </c>
      <c r="M89" s="77"/>
      <c r="N89" s="77"/>
      <c r="O89" s="77"/>
      <c r="P89" s="77"/>
      <c r="Q89" s="78">
        <f t="shared" si="3"/>
        <v>15000000</v>
      </c>
      <c r="R89" s="57" t="s">
        <v>397</v>
      </c>
      <c r="S89" s="82" t="s">
        <v>250</v>
      </c>
      <c r="T89" s="114"/>
      <c r="U89" s="114"/>
    </row>
    <row r="90" spans="1:21" s="115" customFormat="1" ht="42" customHeight="1">
      <c r="A90" s="82"/>
      <c r="B90" s="110"/>
      <c r="C90" s="57"/>
      <c r="D90" s="131"/>
      <c r="E90" s="132" t="s">
        <v>243</v>
      </c>
      <c r="F90" s="112" t="s">
        <v>429</v>
      </c>
      <c r="G90" s="94" t="s">
        <v>265</v>
      </c>
      <c r="H90" s="95">
        <v>1</v>
      </c>
      <c r="I90" s="96" t="s">
        <v>255</v>
      </c>
      <c r="J90" s="119"/>
      <c r="K90" s="77"/>
      <c r="L90" s="77"/>
      <c r="M90" s="77">
        <v>45000000</v>
      </c>
      <c r="N90" s="77"/>
      <c r="O90" s="77"/>
      <c r="P90" s="77"/>
      <c r="Q90" s="78">
        <f t="shared" si="3"/>
        <v>45000000</v>
      </c>
      <c r="R90" s="57" t="s">
        <v>397</v>
      </c>
      <c r="S90" s="82" t="s">
        <v>250</v>
      </c>
      <c r="T90" s="114"/>
      <c r="U90" s="114"/>
    </row>
    <row r="91" spans="1:21" s="115" customFormat="1" ht="42" customHeight="1">
      <c r="A91" s="82"/>
      <c r="B91" s="110"/>
      <c r="C91" s="57"/>
      <c r="D91" s="131"/>
      <c r="E91" s="132" t="s">
        <v>244</v>
      </c>
      <c r="F91" s="112" t="s">
        <v>430</v>
      </c>
      <c r="G91" s="94" t="s">
        <v>227</v>
      </c>
      <c r="H91" s="95">
        <v>1</v>
      </c>
      <c r="I91" s="96" t="s">
        <v>255</v>
      </c>
      <c r="J91" s="119"/>
      <c r="K91" s="77"/>
      <c r="L91" s="77"/>
      <c r="M91" s="77"/>
      <c r="N91" s="77"/>
      <c r="O91" s="77">
        <v>125000000</v>
      </c>
      <c r="P91" s="77"/>
      <c r="Q91" s="78">
        <f t="shared" si="3"/>
        <v>125000000</v>
      </c>
      <c r="R91" s="57" t="s">
        <v>397</v>
      </c>
      <c r="S91" s="82" t="s">
        <v>250</v>
      </c>
      <c r="T91" s="114"/>
      <c r="U91" s="114"/>
    </row>
    <row r="92" spans="1:21" s="115" customFormat="1" ht="42" customHeight="1">
      <c r="A92" s="82"/>
      <c r="B92" s="110"/>
      <c r="C92" s="57"/>
      <c r="D92" s="131"/>
      <c r="E92" s="132" t="s">
        <v>246</v>
      </c>
      <c r="F92" s="112" t="s">
        <v>431</v>
      </c>
      <c r="G92" s="94" t="s">
        <v>432</v>
      </c>
      <c r="H92" s="95">
        <v>1</v>
      </c>
      <c r="I92" s="96" t="s">
        <v>255</v>
      </c>
      <c r="J92" s="119"/>
      <c r="K92" s="77"/>
      <c r="L92" s="77"/>
      <c r="M92" s="77"/>
      <c r="N92" s="77"/>
      <c r="O92" s="77">
        <v>25000000</v>
      </c>
      <c r="P92" s="77"/>
      <c r="Q92" s="78">
        <f t="shared" si="3"/>
        <v>25000000</v>
      </c>
      <c r="R92" s="57" t="s">
        <v>21</v>
      </c>
      <c r="S92" s="82" t="s">
        <v>250</v>
      </c>
      <c r="T92" s="114"/>
      <c r="U92" s="114"/>
    </row>
    <row r="93" spans="1:21" s="115" customFormat="1" ht="42" customHeight="1">
      <c r="A93" s="82"/>
      <c r="B93" s="110"/>
      <c r="C93" s="57"/>
      <c r="D93" s="131"/>
      <c r="E93" s="132" t="s">
        <v>26</v>
      </c>
      <c r="F93" s="112" t="s">
        <v>433</v>
      </c>
      <c r="G93" s="94" t="str">
        <f>G92</f>
        <v xml:space="preserve">Wuluh </v>
      </c>
      <c r="H93" s="95">
        <v>1</v>
      </c>
      <c r="I93" s="96" t="s">
        <v>255</v>
      </c>
      <c r="J93" s="119"/>
      <c r="K93" s="77"/>
      <c r="L93" s="77"/>
      <c r="M93" s="77"/>
      <c r="N93" s="77"/>
      <c r="O93" s="77">
        <v>100000000</v>
      </c>
      <c r="P93" s="77"/>
      <c r="Q93" s="78">
        <f t="shared" si="3"/>
        <v>100000000</v>
      </c>
      <c r="R93" s="57" t="s">
        <v>397</v>
      </c>
      <c r="S93" s="82" t="s">
        <v>250</v>
      </c>
      <c r="T93" s="114"/>
      <c r="U93" s="114"/>
    </row>
    <row r="94" spans="1:21" s="115" customFormat="1" ht="58.5" customHeight="1">
      <c r="A94" s="116"/>
      <c r="B94" s="110"/>
      <c r="C94" s="57"/>
      <c r="D94" s="131"/>
      <c r="E94" s="132">
        <v>3</v>
      </c>
      <c r="F94" s="133" t="s">
        <v>118</v>
      </c>
      <c r="G94" s="94"/>
      <c r="H94" s="95"/>
      <c r="I94" s="96"/>
      <c r="J94" s="119"/>
      <c r="K94" s="77"/>
      <c r="L94" s="77"/>
      <c r="M94" s="77"/>
      <c r="N94" s="77"/>
      <c r="O94" s="77"/>
      <c r="P94" s="77"/>
      <c r="Q94" s="78">
        <f t="shared" si="3"/>
        <v>0</v>
      </c>
      <c r="R94" s="57"/>
      <c r="S94" s="117"/>
      <c r="T94" s="114"/>
      <c r="U94" s="114"/>
    </row>
    <row r="95" spans="1:21" s="115" customFormat="1" ht="32.25" customHeight="1">
      <c r="A95" s="82"/>
      <c r="B95" s="110"/>
      <c r="C95" s="57"/>
      <c r="D95" s="131"/>
      <c r="E95" s="132" t="s">
        <v>236</v>
      </c>
      <c r="F95" s="116" t="s">
        <v>434</v>
      </c>
      <c r="G95" s="94"/>
      <c r="H95" s="95"/>
      <c r="I95" s="96"/>
      <c r="J95" s="119"/>
      <c r="K95" s="77"/>
      <c r="L95" s="77"/>
      <c r="M95" s="77">
        <v>250000000</v>
      </c>
      <c r="N95" s="77"/>
      <c r="O95" s="77"/>
      <c r="P95" s="77"/>
      <c r="Q95" s="78">
        <f t="shared" si="3"/>
        <v>250000000</v>
      </c>
      <c r="R95" s="57" t="s">
        <v>397</v>
      </c>
      <c r="S95" s="82" t="s">
        <v>250</v>
      </c>
      <c r="T95" s="114"/>
      <c r="U95" s="114"/>
    </row>
    <row r="96" spans="1:21" s="115" customFormat="1" ht="101.25" customHeight="1">
      <c r="A96" s="82"/>
      <c r="B96" s="110"/>
      <c r="C96" s="57"/>
      <c r="D96" s="131"/>
      <c r="E96" s="132">
        <v>4</v>
      </c>
      <c r="F96" s="134" t="s">
        <v>119</v>
      </c>
      <c r="G96" s="118"/>
      <c r="H96" s="135"/>
      <c r="I96" s="136"/>
      <c r="J96" s="119"/>
      <c r="K96" s="77"/>
      <c r="L96" s="77"/>
      <c r="M96" s="77"/>
      <c r="N96" s="77"/>
      <c r="O96" s="77"/>
      <c r="P96" s="77"/>
      <c r="Q96" s="78">
        <f t="shared" si="3"/>
        <v>0</v>
      </c>
      <c r="R96" s="57"/>
      <c r="S96" s="117"/>
      <c r="T96" s="114"/>
      <c r="U96" s="114"/>
    </row>
    <row r="97" spans="1:21" s="115" customFormat="1" ht="36" customHeight="1">
      <c r="A97" s="82"/>
      <c r="B97" s="110"/>
      <c r="C97" s="57"/>
      <c r="D97" s="131"/>
      <c r="E97" s="132" t="s">
        <v>236</v>
      </c>
      <c r="F97" s="118" t="s">
        <v>435</v>
      </c>
      <c r="G97" s="94" t="s">
        <v>275</v>
      </c>
      <c r="H97" s="95">
        <v>1</v>
      </c>
      <c r="I97" s="96" t="s">
        <v>255</v>
      </c>
      <c r="J97" s="119"/>
      <c r="K97" s="77"/>
      <c r="L97" s="77"/>
      <c r="M97" s="77"/>
      <c r="N97" s="77">
        <v>2000000</v>
      </c>
      <c r="O97" s="77"/>
      <c r="P97" s="77"/>
      <c r="Q97" s="78">
        <f t="shared" si="3"/>
        <v>2000000</v>
      </c>
      <c r="R97" s="57" t="s">
        <v>21</v>
      </c>
      <c r="S97" s="82" t="s">
        <v>250</v>
      </c>
      <c r="T97" s="114"/>
      <c r="U97" s="114"/>
    </row>
    <row r="98" spans="1:21" s="115" customFormat="1" ht="36" customHeight="1">
      <c r="A98" s="82"/>
      <c r="B98" s="110"/>
      <c r="C98" s="57"/>
      <c r="D98" s="131"/>
      <c r="E98" s="132" t="s">
        <v>237</v>
      </c>
      <c r="F98" s="118" t="s">
        <v>436</v>
      </c>
      <c r="G98" s="94" t="s">
        <v>437</v>
      </c>
      <c r="H98" s="95">
        <v>1</v>
      </c>
      <c r="I98" s="96" t="s">
        <v>255</v>
      </c>
      <c r="J98" s="119"/>
      <c r="K98" s="77"/>
      <c r="L98" s="77">
        <v>3500000</v>
      </c>
      <c r="M98" s="77"/>
      <c r="N98" s="77"/>
      <c r="O98" s="77"/>
      <c r="P98" s="77"/>
      <c r="Q98" s="78">
        <f t="shared" si="3"/>
        <v>3500000</v>
      </c>
      <c r="R98" s="57" t="s">
        <v>21</v>
      </c>
      <c r="S98" s="82" t="s">
        <v>250</v>
      </c>
      <c r="T98" s="114"/>
      <c r="U98" s="114"/>
    </row>
    <row r="99" spans="1:21" s="115" customFormat="1" ht="36" customHeight="1">
      <c r="A99" s="82"/>
      <c r="B99" s="110"/>
      <c r="C99" s="57"/>
      <c r="D99" s="131"/>
      <c r="E99" s="132" t="s">
        <v>238</v>
      </c>
      <c r="F99" s="118" t="s">
        <v>438</v>
      </c>
      <c r="G99" s="94" t="s">
        <v>227</v>
      </c>
      <c r="H99" s="95">
        <v>1</v>
      </c>
      <c r="I99" s="96" t="s">
        <v>255</v>
      </c>
      <c r="J99" s="119"/>
      <c r="K99" s="77"/>
      <c r="L99" s="77"/>
      <c r="M99" s="77">
        <v>15000000</v>
      </c>
      <c r="N99" s="77"/>
      <c r="O99" s="77"/>
      <c r="P99" s="77"/>
      <c r="Q99" s="78">
        <f t="shared" si="3"/>
        <v>15000000</v>
      </c>
      <c r="R99" s="57" t="s">
        <v>397</v>
      </c>
      <c r="S99" s="82" t="s">
        <v>250</v>
      </c>
      <c r="T99" s="114"/>
      <c r="U99" s="114"/>
    </row>
    <row r="100" spans="1:21" s="115" customFormat="1" ht="84.75" customHeight="1">
      <c r="A100" s="82"/>
      <c r="B100" s="110"/>
      <c r="C100" s="57"/>
      <c r="D100" s="131"/>
      <c r="E100" s="132">
        <v>5</v>
      </c>
      <c r="F100" s="134" t="s">
        <v>116</v>
      </c>
      <c r="G100" s="133"/>
      <c r="H100" s="137"/>
      <c r="I100" s="138"/>
      <c r="J100" s="119"/>
      <c r="K100" s="77"/>
      <c r="L100" s="77"/>
      <c r="M100" s="77"/>
      <c r="N100" s="77"/>
      <c r="O100" s="77"/>
      <c r="P100" s="77"/>
      <c r="Q100" s="78">
        <f t="shared" si="3"/>
        <v>0</v>
      </c>
      <c r="R100" s="57"/>
      <c r="S100" s="117"/>
      <c r="T100" s="114"/>
      <c r="U100" s="114"/>
    </row>
    <row r="101" spans="1:21" s="115" customFormat="1" ht="30" customHeight="1">
      <c r="A101" s="82"/>
      <c r="B101" s="110"/>
      <c r="C101" s="57"/>
      <c r="D101" s="131"/>
      <c r="E101" s="132" t="s">
        <v>236</v>
      </c>
      <c r="F101" s="139" t="s">
        <v>439</v>
      </c>
      <c r="G101" s="118" t="s">
        <v>284</v>
      </c>
      <c r="H101" s="140">
        <v>20</v>
      </c>
      <c r="I101" s="136" t="s">
        <v>440</v>
      </c>
      <c r="J101" s="119"/>
      <c r="K101" s="77"/>
      <c r="L101" s="77"/>
      <c r="M101" s="77">
        <f>20*150000</f>
        <v>3000000</v>
      </c>
      <c r="N101" s="77"/>
      <c r="O101" s="77"/>
      <c r="P101" s="77"/>
      <c r="Q101" s="78">
        <f t="shared" si="3"/>
        <v>3000000</v>
      </c>
      <c r="R101" s="57" t="s">
        <v>21</v>
      </c>
      <c r="S101" s="82" t="s">
        <v>250</v>
      </c>
      <c r="T101" s="114"/>
      <c r="U101" s="114"/>
    </row>
    <row r="102" spans="1:21" s="115" customFormat="1" ht="30" customHeight="1">
      <c r="A102" s="82"/>
      <c r="B102" s="110"/>
      <c r="C102" s="57"/>
      <c r="D102" s="131"/>
      <c r="E102" s="132" t="s">
        <v>237</v>
      </c>
      <c r="F102" s="139" t="s">
        <v>441</v>
      </c>
      <c r="G102" s="118" t="s">
        <v>275</v>
      </c>
      <c r="H102" s="140">
        <v>18</v>
      </c>
      <c r="I102" s="136" t="s">
        <v>442</v>
      </c>
      <c r="J102" s="119"/>
      <c r="K102" s="77"/>
      <c r="L102" s="77">
        <f>18*150000</f>
        <v>2700000</v>
      </c>
      <c r="M102" s="77"/>
      <c r="N102" s="77"/>
      <c r="O102" s="77"/>
      <c r="P102" s="77"/>
      <c r="Q102" s="78">
        <f t="shared" si="3"/>
        <v>2700000</v>
      </c>
      <c r="R102" s="57" t="s">
        <v>21</v>
      </c>
      <c r="S102" s="82" t="s">
        <v>250</v>
      </c>
      <c r="T102" s="114"/>
      <c r="U102" s="114"/>
    </row>
    <row r="103" spans="1:21" s="115" customFormat="1" ht="30" customHeight="1">
      <c r="A103" s="82"/>
      <c r="B103" s="110"/>
      <c r="C103" s="57"/>
      <c r="D103" s="131"/>
      <c r="E103" s="132" t="s">
        <v>238</v>
      </c>
      <c r="F103" s="139" t="s">
        <v>443</v>
      </c>
      <c r="G103" s="118" t="s">
        <v>289</v>
      </c>
      <c r="H103" s="135">
        <v>2</v>
      </c>
      <c r="I103" s="136" t="s">
        <v>55</v>
      </c>
      <c r="J103" s="119"/>
      <c r="K103" s="77">
        <f>2*12*150000</f>
        <v>3600000</v>
      </c>
      <c r="L103" s="77">
        <f t="shared" ref="L103:P103" si="4">2*12*150000</f>
        <v>3600000</v>
      </c>
      <c r="M103" s="77">
        <f t="shared" si="4"/>
        <v>3600000</v>
      </c>
      <c r="N103" s="77">
        <f t="shared" si="4"/>
        <v>3600000</v>
      </c>
      <c r="O103" s="77">
        <f t="shared" si="4"/>
        <v>3600000</v>
      </c>
      <c r="P103" s="77">
        <f t="shared" si="4"/>
        <v>3600000</v>
      </c>
      <c r="Q103" s="78">
        <f t="shared" si="3"/>
        <v>21600000</v>
      </c>
      <c r="R103" s="57" t="s">
        <v>21</v>
      </c>
      <c r="S103" s="82" t="s">
        <v>250</v>
      </c>
      <c r="T103" s="114"/>
      <c r="U103" s="114"/>
    </row>
    <row r="104" spans="1:21" s="115" customFormat="1" ht="30" customHeight="1">
      <c r="A104" s="82"/>
      <c r="B104" s="110"/>
      <c r="C104" s="57"/>
      <c r="D104" s="131"/>
      <c r="E104" s="132" t="s">
        <v>239</v>
      </c>
      <c r="F104" s="139" t="s">
        <v>444</v>
      </c>
      <c r="G104" s="118" t="s">
        <v>275</v>
      </c>
      <c r="H104" s="135">
        <v>2</v>
      </c>
      <c r="I104" s="136" t="s">
        <v>55</v>
      </c>
      <c r="J104" s="119"/>
      <c r="K104" s="77">
        <f>2*12*150000</f>
        <v>3600000</v>
      </c>
      <c r="L104" s="77">
        <v>3600000</v>
      </c>
      <c r="M104" s="77">
        <v>3600000</v>
      </c>
      <c r="N104" s="77">
        <v>3600000</v>
      </c>
      <c r="O104" s="77">
        <v>3600000</v>
      </c>
      <c r="P104" s="77">
        <v>3600000</v>
      </c>
      <c r="Q104" s="78">
        <f t="shared" si="3"/>
        <v>21600000</v>
      </c>
      <c r="R104" s="57" t="s">
        <v>21</v>
      </c>
      <c r="S104" s="82" t="s">
        <v>250</v>
      </c>
      <c r="T104" s="114"/>
      <c r="U104" s="114"/>
    </row>
    <row r="105" spans="1:21" s="115" customFormat="1" ht="36" customHeight="1">
      <c r="A105" s="82"/>
      <c r="B105" s="110"/>
      <c r="C105" s="57"/>
      <c r="D105" s="131"/>
      <c r="E105" s="132" t="s">
        <v>240</v>
      </c>
      <c r="F105" s="118" t="s">
        <v>445</v>
      </c>
      <c r="G105" s="94" t="s">
        <v>264</v>
      </c>
      <c r="H105" s="95">
        <v>2</v>
      </c>
      <c r="I105" s="96" t="s">
        <v>55</v>
      </c>
      <c r="J105" s="119"/>
      <c r="K105" s="77">
        <f>2*12*150000</f>
        <v>3600000</v>
      </c>
      <c r="L105" s="77">
        <v>3600000</v>
      </c>
      <c r="M105" s="77">
        <v>3600000</v>
      </c>
      <c r="N105" s="77">
        <v>3600000</v>
      </c>
      <c r="O105" s="77">
        <v>3600000</v>
      </c>
      <c r="P105" s="77">
        <v>3600000</v>
      </c>
      <c r="Q105" s="78">
        <f t="shared" si="3"/>
        <v>21600000</v>
      </c>
      <c r="R105" s="57" t="s">
        <v>21</v>
      </c>
      <c r="S105" s="82" t="s">
        <v>250</v>
      </c>
      <c r="T105" s="114"/>
      <c r="U105" s="114"/>
    </row>
    <row r="106" spans="1:21" s="115" customFormat="1" ht="36" customHeight="1">
      <c r="A106" s="82"/>
      <c r="B106" s="110"/>
      <c r="C106" s="57"/>
      <c r="D106" s="131"/>
      <c r="E106" s="132" t="s">
        <v>241</v>
      </c>
      <c r="F106" s="118" t="s">
        <v>446</v>
      </c>
      <c r="G106" s="94" t="s">
        <v>275</v>
      </c>
      <c r="H106" s="95">
        <v>2</v>
      </c>
      <c r="I106" s="96" t="s">
        <v>55</v>
      </c>
      <c r="J106" s="119"/>
      <c r="K106" s="77"/>
      <c r="L106" s="77">
        <f>2*300000</f>
        <v>600000</v>
      </c>
      <c r="M106" s="77"/>
      <c r="N106" s="77"/>
      <c r="O106" s="77"/>
      <c r="P106" s="77"/>
      <c r="Q106" s="78">
        <f t="shared" si="3"/>
        <v>600000</v>
      </c>
      <c r="R106" s="57" t="s">
        <v>21</v>
      </c>
      <c r="S106" s="82" t="s">
        <v>250</v>
      </c>
      <c r="T106" s="114"/>
      <c r="U106" s="114"/>
    </row>
    <row r="107" spans="1:21" s="115" customFormat="1" ht="36" customHeight="1">
      <c r="A107" s="82"/>
      <c r="B107" s="110"/>
      <c r="C107" s="57"/>
      <c r="D107" s="131"/>
      <c r="E107" s="132" t="s">
        <v>242</v>
      </c>
      <c r="F107" s="118" t="s">
        <v>447</v>
      </c>
      <c r="G107" s="94" t="s">
        <v>265</v>
      </c>
      <c r="H107" s="95">
        <v>4</v>
      </c>
      <c r="I107" s="96" t="s">
        <v>55</v>
      </c>
      <c r="J107" s="119"/>
      <c r="K107" s="77">
        <f>4*12*150000</f>
        <v>7200000</v>
      </c>
      <c r="L107" s="77">
        <v>7200000</v>
      </c>
      <c r="M107" s="77">
        <v>7200000</v>
      </c>
      <c r="N107" s="77">
        <v>7200000</v>
      </c>
      <c r="O107" s="77">
        <v>7200000</v>
      </c>
      <c r="P107" s="77">
        <v>7200000</v>
      </c>
      <c r="Q107" s="78">
        <f t="shared" si="3"/>
        <v>43200000</v>
      </c>
      <c r="R107" s="57" t="s">
        <v>21</v>
      </c>
      <c r="S107" s="82" t="s">
        <v>250</v>
      </c>
      <c r="T107" s="114"/>
      <c r="U107" s="114"/>
    </row>
    <row r="108" spans="1:21" s="115" customFormat="1" ht="36" customHeight="1">
      <c r="A108" s="82"/>
      <c r="B108" s="110"/>
      <c r="C108" s="57"/>
      <c r="D108" s="131"/>
      <c r="E108" s="132" t="s">
        <v>243</v>
      </c>
      <c r="F108" s="118" t="s">
        <v>448</v>
      </c>
      <c r="G108" s="94" t="s">
        <v>227</v>
      </c>
      <c r="H108" s="95">
        <v>4</v>
      </c>
      <c r="I108" s="96" t="s">
        <v>55</v>
      </c>
      <c r="J108" s="119"/>
      <c r="K108" s="77">
        <v>7200000</v>
      </c>
      <c r="L108" s="77">
        <v>7200000</v>
      </c>
      <c r="M108" s="77">
        <v>7200000</v>
      </c>
      <c r="N108" s="77">
        <v>7200000</v>
      </c>
      <c r="O108" s="77">
        <v>7200000</v>
      </c>
      <c r="P108" s="77">
        <v>7200000</v>
      </c>
      <c r="Q108" s="78">
        <f t="shared" si="3"/>
        <v>43200000</v>
      </c>
      <c r="R108" s="57" t="s">
        <v>21</v>
      </c>
      <c r="S108" s="82" t="s">
        <v>250</v>
      </c>
      <c r="T108" s="114"/>
      <c r="U108" s="114"/>
    </row>
    <row r="109" spans="1:21" s="115" customFormat="1" ht="36" customHeight="1">
      <c r="A109" s="82"/>
      <c r="B109" s="110"/>
      <c r="C109" s="57"/>
      <c r="D109" s="131"/>
      <c r="E109" s="132" t="s">
        <v>244</v>
      </c>
      <c r="F109" s="118" t="s">
        <v>449</v>
      </c>
      <c r="G109" s="94" t="s">
        <v>277</v>
      </c>
      <c r="H109" s="95">
        <v>2</v>
      </c>
      <c r="I109" s="96" t="s">
        <v>55</v>
      </c>
      <c r="J109" s="119"/>
      <c r="K109" s="77">
        <f>2*100000*12</f>
        <v>2400000</v>
      </c>
      <c r="L109" s="77">
        <v>2400000</v>
      </c>
      <c r="M109" s="77">
        <v>2400000</v>
      </c>
      <c r="N109" s="77">
        <v>2400000</v>
      </c>
      <c r="O109" s="77">
        <v>2400000</v>
      </c>
      <c r="P109" s="77">
        <v>2400000</v>
      </c>
      <c r="Q109" s="78">
        <f t="shared" si="3"/>
        <v>14400000</v>
      </c>
      <c r="R109" s="57" t="s">
        <v>21</v>
      </c>
      <c r="S109" s="82" t="s">
        <v>250</v>
      </c>
      <c r="T109" s="114"/>
      <c r="U109" s="114"/>
    </row>
    <row r="110" spans="1:21" s="115" customFormat="1" ht="36" customHeight="1">
      <c r="A110" s="82"/>
      <c r="B110" s="110"/>
      <c r="C110" s="57"/>
      <c r="D110" s="131"/>
      <c r="E110" s="132" t="s">
        <v>266</v>
      </c>
      <c r="F110" s="118" t="s">
        <v>449</v>
      </c>
      <c r="G110" s="94" t="s">
        <v>432</v>
      </c>
      <c r="H110" s="95">
        <v>4</v>
      </c>
      <c r="I110" s="96" t="s">
        <v>55</v>
      </c>
      <c r="J110" s="119"/>
      <c r="K110" s="77">
        <v>2400000</v>
      </c>
      <c r="L110" s="77">
        <v>2400000</v>
      </c>
      <c r="M110" s="77">
        <v>2400000</v>
      </c>
      <c r="N110" s="77">
        <v>2400000</v>
      </c>
      <c r="O110" s="77">
        <v>2400000</v>
      </c>
      <c r="P110" s="77">
        <v>2400000</v>
      </c>
      <c r="Q110" s="78">
        <f t="shared" si="3"/>
        <v>14400000</v>
      </c>
      <c r="R110" s="57" t="s">
        <v>21</v>
      </c>
      <c r="S110" s="82" t="s">
        <v>250</v>
      </c>
      <c r="T110" s="114"/>
      <c r="U110" s="114"/>
    </row>
    <row r="111" spans="1:21" s="115" customFormat="1" ht="51" customHeight="1">
      <c r="A111" s="82"/>
      <c r="B111" s="110"/>
      <c r="C111" s="57"/>
      <c r="D111" s="131"/>
      <c r="E111" s="132">
        <v>6</v>
      </c>
      <c r="F111" s="133" t="s">
        <v>121</v>
      </c>
      <c r="G111" s="94"/>
      <c r="H111" s="95"/>
      <c r="I111" s="96"/>
      <c r="J111" s="119"/>
      <c r="K111" s="77"/>
      <c r="L111" s="77"/>
      <c r="M111" s="77"/>
      <c r="N111" s="77"/>
      <c r="O111" s="77"/>
      <c r="P111" s="77"/>
      <c r="Q111" s="78">
        <f t="shared" si="3"/>
        <v>0</v>
      </c>
      <c r="R111" s="57"/>
      <c r="S111" s="117"/>
      <c r="T111" s="114"/>
      <c r="U111" s="114"/>
    </row>
    <row r="112" spans="1:21" s="115" customFormat="1" ht="57" customHeight="1">
      <c r="A112" s="82"/>
      <c r="B112" s="110"/>
      <c r="C112" s="57"/>
      <c r="D112" s="131"/>
      <c r="E112" s="132" t="s">
        <v>236</v>
      </c>
      <c r="F112" s="118" t="s">
        <v>450</v>
      </c>
      <c r="G112" s="94"/>
      <c r="H112" s="95">
        <v>5</v>
      </c>
      <c r="I112" s="96" t="s">
        <v>55</v>
      </c>
      <c r="J112" s="119"/>
      <c r="K112" s="77">
        <f>H112*1200000</f>
        <v>6000000</v>
      </c>
      <c r="L112" s="77">
        <f>K112</f>
        <v>6000000</v>
      </c>
      <c r="M112" s="77">
        <f t="shared" ref="M112:P113" si="5">L112</f>
        <v>6000000</v>
      </c>
      <c r="N112" s="77">
        <f t="shared" si="5"/>
        <v>6000000</v>
      </c>
      <c r="O112" s="77">
        <f t="shared" si="5"/>
        <v>6000000</v>
      </c>
      <c r="P112" s="77">
        <f t="shared" si="5"/>
        <v>6000000</v>
      </c>
      <c r="Q112" s="78">
        <f t="shared" si="3"/>
        <v>36000000</v>
      </c>
      <c r="R112" s="57" t="s">
        <v>21</v>
      </c>
      <c r="S112" s="82" t="s">
        <v>250</v>
      </c>
      <c r="T112" s="114"/>
      <c r="U112" s="114"/>
    </row>
    <row r="113" spans="1:21" s="115" customFormat="1" ht="70.5" customHeight="1">
      <c r="A113" s="82"/>
      <c r="B113" s="110"/>
      <c r="C113" s="57"/>
      <c r="D113" s="131"/>
      <c r="E113" s="132" t="s">
        <v>237</v>
      </c>
      <c r="F113" s="118" t="s">
        <v>451</v>
      </c>
      <c r="G113" s="94" t="s">
        <v>452</v>
      </c>
      <c r="H113" s="95">
        <v>10</v>
      </c>
      <c r="I113" s="96" t="s">
        <v>60</v>
      </c>
      <c r="J113" s="119"/>
      <c r="K113" s="77">
        <f>H113*1200000</f>
        <v>12000000</v>
      </c>
      <c r="L113" s="77">
        <f>K113</f>
        <v>12000000</v>
      </c>
      <c r="M113" s="77">
        <f t="shared" si="5"/>
        <v>12000000</v>
      </c>
      <c r="N113" s="77">
        <f t="shared" si="5"/>
        <v>12000000</v>
      </c>
      <c r="O113" s="77">
        <f t="shared" si="5"/>
        <v>12000000</v>
      </c>
      <c r="P113" s="77">
        <f t="shared" si="5"/>
        <v>12000000</v>
      </c>
      <c r="Q113" s="78">
        <f t="shared" si="3"/>
        <v>72000000</v>
      </c>
      <c r="R113" s="57" t="s">
        <v>21</v>
      </c>
      <c r="S113" s="82" t="s">
        <v>250</v>
      </c>
      <c r="T113" s="114"/>
      <c r="U113" s="114"/>
    </row>
    <row r="114" spans="1:21" s="115" customFormat="1" ht="36" customHeight="1">
      <c r="A114" s="82"/>
      <c r="B114" s="110"/>
      <c r="C114" s="57"/>
      <c r="D114" s="131"/>
      <c r="E114" s="132">
        <v>7</v>
      </c>
      <c r="F114" s="133" t="s">
        <v>123</v>
      </c>
      <c r="G114" s="94"/>
      <c r="H114" s="95"/>
      <c r="I114" s="96"/>
      <c r="J114" s="119"/>
      <c r="K114" s="77"/>
      <c r="L114" s="77"/>
      <c r="M114" s="77"/>
      <c r="N114" s="77"/>
      <c r="O114" s="77"/>
      <c r="P114" s="77"/>
      <c r="Q114" s="78">
        <f t="shared" si="3"/>
        <v>0</v>
      </c>
      <c r="R114" s="57"/>
      <c r="S114" s="117"/>
      <c r="T114" s="114"/>
      <c r="U114" s="114"/>
    </row>
    <row r="115" spans="1:21" s="115" customFormat="1" ht="36" customHeight="1">
      <c r="A115" s="82"/>
      <c r="B115" s="110"/>
      <c r="C115" s="57"/>
      <c r="D115" s="131"/>
      <c r="E115" s="132" t="s">
        <v>236</v>
      </c>
      <c r="F115" s="118" t="s">
        <v>453</v>
      </c>
      <c r="G115" s="94"/>
      <c r="H115" s="95">
        <v>1</v>
      </c>
      <c r="I115" s="96"/>
      <c r="J115" s="119"/>
      <c r="K115" s="77">
        <v>1000000</v>
      </c>
      <c r="L115" s="77">
        <v>1000000</v>
      </c>
      <c r="M115" s="77">
        <v>1000000</v>
      </c>
      <c r="N115" s="77">
        <v>1000000</v>
      </c>
      <c r="O115" s="77">
        <v>1000000</v>
      </c>
      <c r="P115" s="77">
        <v>1000000</v>
      </c>
      <c r="Q115" s="78">
        <f t="shared" si="3"/>
        <v>6000000</v>
      </c>
      <c r="R115" s="57" t="s">
        <v>397</v>
      </c>
      <c r="S115" s="82" t="s">
        <v>250</v>
      </c>
      <c r="T115" s="114"/>
      <c r="U115" s="114"/>
    </row>
    <row r="116" spans="1:21" s="115" customFormat="1" ht="36" customHeight="1">
      <c r="A116" s="82"/>
      <c r="B116" s="110"/>
      <c r="C116" s="57"/>
      <c r="D116" s="131"/>
      <c r="E116" s="132" t="s">
        <v>237</v>
      </c>
      <c r="F116" s="118" t="s">
        <v>454</v>
      </c>
      <c r="G116" s="94"/>
      <c r="H116" s="95">
        <v>1</v>
      </c>
      <c r="I116" s="96"/>
      <c r="J116" s="119"/>
      <c r="K116" s="77">
        <v>1000000</v>
      </c>
      <c r="L116" s="77">
        <v>1000000</v>
      </c>
      <c r="M116" s="77">
        <v>1000000</v>
      </c>
      <c r="N116" s="77">
        <v>1000000</v>
      </c>
      <c r="O116" s="77">
        <v>1000000</v>
      </c>
      <c r="P116" s="77">
        <v>1000000</v>
      </c>
      <c r="Q116" s="78">
        <f t="shared" si="3"/>
        <v>6000000</v>
      </c>
      <c r="R116" s="57" t="s">
        <v>397</v>
      </c>
      <c r="S116" s="82" t="s">
        <v>250</v>
      </c>
      <c r="T116" s="114"/>
      <c r="U116" s="114"/>
    </row>
    <row r="117" spans="1:21" ht="36.75" customHeight="1">
      <c r="A117" s="82"/>
      <c r="B117" s="110"/>
      <c r="C117" s="56" t="s">
        <v>18</v>
      </c>
      <c r="D117" s="70" t="s">
        <v>22</v>
      </c>
      <c r="E117" s="71" t="s">
        <v>238</v>
      </c>
      <c r="F117" s="128"/>
      <c r="G117" s="73"/>
      <c r="H117" s="74"/>
      <c r="I117" s="82"/>
      <c r="J117" s="119"/>
      <c r="K117" s="77"/>
      <c r="L117" s="77"/>
      <c r="M117" s="77"/>
      <c r="N117" s="77"/>
      <c r="O117" s="77"/>
      <c r="P117" s="77"/>
      <c r="Q117" s="78">
        <f t="shared" si="3"/>
        <v>0</v>
      </c>
      <c r="R117" s="57"/>
      <c r="S117" s="129"/>
      <c r="T117" s="130"/>
      <c r="U117" s="130"/>
    </row>
    <row r="118" spans="1:21" s="115" customFormat="1" ht="68.25" customHeight="1">
      <c r="A118" s="82"/>
      <c r="B118" s="110"/>
      <c r="C118" s="57"/>
      <c r="D118" s="131"/>
      <c r="E118" s="132">
        <v>1</v>
      </c>
      <c r="F118" s="133" t="s">
        <v>126</v>
      </c>
      <c r="G118" s="94"/>
      <c r="H118" s="95"/>
      <c r="I118" s="96"/>
      <c r="J118" s="119"/>
      <c r="K118" s="77"/>
      <c r="L118" s="77"/>
      <c r="M118" s="77"/>
      <c r="N118" s="77"/>
      <c r="O118" s="77"/>
      <c r="P118" s="77"/>
      <c r="Q118" s="78">
        <f t="shared" si="3"/>
        <v>0</v>
      </c>
      <c r="R118" s="57"/>
      <c r="S118" s="117"/>
      <c r="T118" s="114"/>
      <c r="U118" s="114"/>
    </row>
    <row r="119" spans="1:21" s="115" customFormat="1" ht="49.5" customHeight="1">
      <c r="A119" s="82"/>
      <c r="B119" s="110"/>
      <c r="C119" s="57"/>
      <c r="D119" s="131"/>
      <c r="E119" s="132" t="s">
        <v>236</v>
      </c>
      <c r="F119" s="112" t="s">
        <v>455</v>
      </c>
      <c r="G119" s="94" t="s">
        <v>361</v>
      </c>
      <c r="H119" s="95">
        <v>14</v>
      </c>
      <c r="I119" s="96" t="s">
        <v>456</v>
      </c>
      <c r="J119" s="119"/>
      <c r="K119" s="77">
        <f>14*12*500000</f>
        <v>84000000</v>
      </c>
      <c r="L119" s="77">
        <v>84000000</v>
      </c>
      <c r="M119" s="77">
        <v>84000000</v>
      </c>
      <c r="N119" s="77">
        <v>84000000</v>
      </c>
      <c r="O119" s="77">
        <v>84000000</v>
      </c>
      <c r="P119" s="77">
        <v>84000000</v>
      </c>
      <c r="Q119" s="78">
        <f t="shared" si="3"/>
        <v>504000000</v>
      </c>
      <c r="R119" s="57" t="s">
        <v>21</v>
      </c>
      <c r="S119" s="82" t="s">
        <v>250</v>
      </c>
      <c r="T119" s="114"/>
      <c r="U119" s="114"/>
    </row>
    <row r="120" spans="1:21" s="115" customFormat="1" ht="49.5" customHeight="1">
      <c r="A120" s="82"/>
      <c r="B120" s="110"/>
      <c r="C120" s="57"/>
      <c r="D120" s="131"/>
      <c r="E120" s="132" t="s">
        <v>237</v>
      </c>
      <c r="F120" s="112" t="s">
        <v>457</v>
      </c>
      <c r="G120" s="94" t="s">
        <v>361</v>
      </c>
      <c r="H120" s="95">
        <v>14</v>
      </c>
      <c r="I120" s="96" t="s">
        <v>458</v>
      </c>
      <c r="J120" s="119"/>
      <c r="K120" s="77">
        <f>874*4*10000</f>
        <v>34960000</v>
      </c>
      <c r="L120" s="77">
        <v>34960000</v>
      </c>
      <c r="M120" s="77">
        <v>34960000</v>
      </c>
      <c r="N120" s="77">
        <v>34960000</v>
      </c>
      <c r="O120" s="77">
        <v>34960000</v>
      </c>
      <c r="P120" s="77">
        <v>34960000</v>
      </c>
      <c r="Q120" s="78">
        <f t="shared" si="3"/>
        <v>209760000</v>
      </c>
      <c r="R120" s="57" t="s">
        <v>459</v>
      </c>
      <c r="S120" s="82" t="s">
        <v>250</v>
      </c>
      <c r="T120" s="114"/>
      <c r="U120" s="114"/>
    </row>
    <row r="121" spans="1:21" s="115" customFormat="1" ht="49.5" customHeight="1">
      <c r="A121" s="82"/>
      <c r="B121" s="110"/>
      <c r="C121" s="57"/>
      <c r="D121" s="131"/>
      <c r="E121" s="132" t="s">
        <v>238</v>
      </c>
      <c r="F121" s="112" t="s">
        <v>460</v>
      </c>
      <c r="G121" s="94" t="s">
        <v>361</v>
      </c>
      <c r="H121" s="95">
        <v>70</v>
      </c>
      <c r="I121" s="96" t="s">
        <v>60</v>
      </c>
      <c r="J121" s="119"/>
      <c r="K121" s="77">
        <f>70*12*40000</f>
        <v>33600000</v>
      </c>
      <c r="L121" s="77">
        <v>33600000</v>
      </c>
      <c r="M121" s="77">
        <v>33600000</v>
      </c>
      <c r="N121" s="77">
        <v>33600000</v>
      </c>
      <c r="O121" s="77">
        <v>33600000</v>
      </c>
      <c r="P121" s="77">
        <v>33600000</v>
      </c>
      <c r="Q121" s="78">
        <f t="shared" si="3"/>
        <v>201600000</v>
      </c>
      <c r="R121" s="57" t="s">
        <v>21</v>
      </c>
      <c r="S121" s="82" t="s">
        <v>250</v>
      </c>
      <c r="T121" s="114"/>
      <c r="U121" s="114"/>
    </row>
    <row r="122" spans="1:21" s="115" customFormat="1" ht="49.5" customHeight="1">
      <c r="A122" s="82"/>
      <c r="B122" s="110"/>
      <c r="C122" s="57"/>
      <c r="D122" s="131"/>
      <c r="E122" s="132" t="s">
        <v>239</v>
      </c>
      <c r="F122" s="112" t="s">
        <v>461</v>
      </c>
      <c r="G122" s="94" t="s">
        <v>462</v>
      </c>
      <c r="H122" s="95">
        <f>6*14</f>
        <v>84</v>
      </c>
      <c r="I122" s="96" t="s">
        <v>60</v>
      </c>
      <c r="J122" s="119"/>
      <c r="K122" s="77">
        <f>84*10000*5</f>
        <v>4200000</v>
      </c>
      <c r="L122" s="77">
        <v>4200000</v>
      </c>
      <c r="M122" s="77">
        <v>4200000</v>
      </c>
      <c r="N122" s="77">
        <v>4200000</v>
      </c>
      <c r="O122" s="77">
        <v>4200000</v>
      </c>
      <c r="P122" s="77">
        <v>4200000</v>
      </c>
      <c r="Q122" s="78">
        <f t="shared" si="3"/>
        <v>25200000</v>
      </c>
      <c r="R122" s="57" t="s">
        <v>21</v>
      </c>
      <c r="S122" s="82" t="s">
        <v>250</v>
      </c>
      <c r="T122" s="114"/>
      <c r="U122" s="114"/>
    </row>
    <row r="123" spans="1:21" s="115" customFormat="1" ht="49.5" customHeight="1">
      <c r="A123" s="82"/>
      <c r="B123" s="110"/>
      <c r="C123" s="57"/>
      <c r="D123" s="131"/>
      <c r="E123" s="132"/>
      <c r="F123" s="112"/>
      <c r="G123" s="94"/>
      <c r="H123" s="95"/>
      <c r="I123" s="96"/>
      <c r="J123" s="119"/>
      <c r="K123" s="77"/>
      <c r="L123" s="77"/>
      <c r="M123" s="77"/>
      <c r="N123" s="77"/>
      <c r="O123" s="77"/>
      <c r="P123" s="77"/>
      <c r="Q123" s="78">
        <f t="shared" si="3"/>
        <v>0</v>
      </c>
      <c r="R123" s="57"/>
      <c r="S123" s="117"/>
      <c r="T123" s="114"/>
      <c r="U123" s="114"/>
    </row>
    <row r="124" spans="1:21" s="115" customFormat="1" ht="81.75" customHeight="1">
      <c r="A124" s="82"/>
      <c r="B124" s="110"/>
      <c r="C124" s="57"/>
      <c r="D124" s="131"/>
      <c r="E124" s="132">
        <v>2</v>
      </c>
      <c r="F124" s="133" t="s">
        <v>125</v>
      </c>
      <c r="G124" s="94"/>
      <c r="H124" s="95"/>
      <c r="I124" s="96"/>
      <c r="J124" s="119"/>
      <c r="K124" s="77"/>
      <c r="L124" s="77"/>
      <c r="M124" s="77"/>
      <c r="N124" s="77"/>
      <c r="O124" s="77"/>
      <c r="P124" s="77"/>
      <c r="Q124" s="78">
        <f t="shared" si="3"/>
        <v>0</v>
      </c>
      <c r="R124" s="57"/>
      <c r="S124" s="117"/>
      <c r="T124" s="114"/>
      <c r="U124" s="114"/>
    </row>
    <row r="125" spans="1:21" s="115" customFormat="1" ht="49.5" customHeight="1">
      <c r="A125" s="82"/>
      <c r="B125" s="110"/>
      <c r="C125" s="57"/>
      <c r="D125" s="131"/>
      <c r="E125" s="132" t="s">
        <v>236</v>
      </c>
      <c r="F125" s="112" t="s">
        <v>463</v>
      </c>
      <c r="G125" s="94" t="s">
        <v>464</v>
      </c>
      <c r="H125" s="95">
        <v>1</v>
      </c>
      <c r="I125" s="96" t="s">
        <v>255</v>
      </c>
      <c r="J125" s="119"/>
      <c r="K125" s="77">
        <v>1000000</v>
      </c>
      <c r="L125" s="77">
        <v>1000000</v>
      </c>
      <c r="M125" s="77">
        <v>1000000</v>
      </c>
      <c r="N125" s="77">
        <v>1000000</v>
      </c>
      <c r="O125" s="77">
        <v>1000000</v>
      </c>
      <c r="P125" s="77">
        <v>1000000</v>
      </c>
      <c r="Q125" s="78">
        <f t="shared" si="3"/>
        <v>6000000</v>
      </c>
      <c r="R125" s="57" t="s">
        <v>21</v>
      </c>
      <c r="S125" s="117"/>
      <c r="T125" s="114"/>
      <c r="U125" s="114"/>
    </row>
    <row r="126" spans="1:21" s="115" customFormat="1" ht="49.5" customHeight="1">
      <c r="A126" s="82"/>
      <c r="B126" s="110"/>
      <c r="C126" s="57"/>
      <c r="D126" s="131"/>
      <c r="E126" s="132" t="s">
        <v>237</v>
      </c>
      <c r="F126" s="112" t="s">
        <v>465</v>
      </c>
      <c r="G126" s="94" t="s">
        <v>361</v>
      </c>
      <c r="H126" s="95">
        <v>1</v>
      </c>
      <c r="I126" s="96" t="s">
        <v>255</v>
      </c>
      <c r="J126" s="119"/>
      <c r="K126" s="77">
        <v>3000000</v>
      </c>
      <c r="L126" s="77">
        <v>3000000</v>
      </c>
      <c r="M126" s="77">
        <v>3000000</v>
      </c>
      <c r="N126" s="77">
        <v>3000000</v>
      </c>
      <c r="O126" s="77">
        <v>3000000</v>
      </c>
      <c r="P126" s="77">
        <v>3000000</v>
      </c>
      <c r="Q126" s="78">
        <f t="shared" si="3"/>
        <v>18000000</v>
      </c>
      <c r="R126" s="57" t="s">
        <v>21</v>
      </c>
      <c r="S126" s="82" t="s">
        <v>250</v>
      </c>
      <c r="T126" s="114"/>
      <c r="U126" s="114"/>
    </row>
    <row r="127" spans="1:21" s="115" customFormat="1" ht="49.5" customHeight="1">
      <c r="A127" s="82"/>
      <c r="B127" s="110"/>
      <c r="C127" s="57"/>
      <c r="D127" s="131"/>
      <c r="E127" s="132"/>
      <c r="F127" s="118"/>
      <c r="G127" s="94"/>
      <c r="H127" s="95"/>
      <c r="I127" s="96"/>
      <c r="J127" s="119"/>
      <c r="K127" s="77"/>
      <c r="L127" s="77"/>
      <c r="M127" s="77"/>
      <c r="N127" s="77"/>
      <c r="O127" s="77"/>
      <c r="P127" s="77"/>
      <c r="Q127" s="78">
        <f t="shared" ref="Q127:Q180" si="6">SUM(K127:P127)</f>
        <v>0</v>
      </c>
      <c r="R127" s="57"/>
      <c r="S127" s="117"/>
      <c r="T127" s="114"/>
      <c r="U127" s="114"/>
    </row>
    <row r="128" spans="1:21" s="115" customFormat="1" ht="49.5" customHeight="1">
      <c r="A128" s="82"/>
      <c r="B128" s="110"/>
      <c r="C128" s="57"/>
      <c r="D128" s="131"/>
      <c r="E128" s="132">
        <v>3</v>
      </c>
      <c r="F128" s="141" t="s">
        <v>133</v>
      </c>
      <c r="G128" s="94"/>
      <c r="H128" s="95"/>
      <c r="I128" s="96"/>
      <c r="J128" s="119"/>
      <c r="K128" s="77"/>
      <c r="L128" s="77"/>
      <c r="M128" s="77"/>
      <c r="N128" s="77"/>
      <c r="O128" s="77"/>
      <c r="P128" s="77"/>
      <c r="Q128" s="78">
        <f t="shared" si="6"/>
        <v>0</v>
      </c>
      <c r="R128" s="57"/>
      <c r="S128" s="117"/>
      <c r="T128" s="114"/>
      <c r="U128" s="114"/>
    </row>
    <row r="129" spans="1:21" s="115" customFormat="1" ht="49.5" customHeight="1">
      <c r="A129" s="82"/>
      <c r="B129" s="110"/>
      <c r="C129" s="57"/>
      <c r="D129" s="131"/>
      <c r="E129" s="132" t="s">
        <v>236</v>
      </c>
      <c r="F129" s="112" t="s">
        <v>466</v>
      </c>
      <c r="G129" s="94"/>
      <c r="H129" s="95">
        <v>1</v>
      </c>
      <c r="I129" s="96"/>
      <c r="J129" s="119"/>
      <c r="K129" s="77"/>
      <c r="L129" s="77">
        <v>5000000</v>
      </c>
      <c r="M129" s="77"/>
      <c r="N129" s="77"/>
      <c r="O129" s="77"/>
      <c r="P129" s="77"/>
      <c r="Q129" s="78">
        <f t="shared" si="6"/>
        <v>5000000</v>
      </c>
      <c r="R129" s="57" t="s">
        <v>21</v>
      </c>
      <c r="S129" s="82" t="s">
        <v>250</v>
      </c>
      <c r="T129" s="114"/>
      <c r="U129" s="114"/>
    </row>
    <row r="130" spans="1:21" s="115" customFormat="1" ht="49.5" customHeight="1">
      <c r="A130" s="82"/>
      <c r="B130" s="110"/>
      <c r="C130" s="57"/>
      <c r="D130" s="131"/>
      <c r="E130" s="132" t="s">
        <v>237</v>
      </c>
      <c r="F130" s="112" t="s">
        <v>467</v>
      </c>
      <c r="G130" s="94"/>
      <c r="H130" s="95">
        <v>1</v>
      </c>
      <c r="I130" s="96"/>
      <c r="J130" s="119"/>
      <c r="K130" s="77"/>
      <c r="L130" s="77"/>
      <c r="M130" s="77"/>
      <c r="N130" s="77">
        <v>5000000</v>
      </c>
      <c r="O130" s="77"/>
      <c r="P130" s="77"/>
      <c r="Q130" s="78">
        <f t="shared" si="6"/>
        <v>5000000</v>
      </c>
      <c r="R130" s="57" t="s">
        <v>397</v>
      </c>
      <c r="S130" s="82" t="s">
        <v>250</v>
      </c>
      <c r="T130" s="114"/>
      <c r="U130" s="114"/>
    </row>
    <row r="131" spans="1:21" s="115" customFormat="1" ht="74.25" customHeight="1">
      <c r="A131" s="82"/>
      <c r="B131" s="110"/>
      <c r="C131" s="57"/>
      <c r="D131" s="131"/>
      <c r="E131" s="132">
        <v>4</v>
      </c>
      <c r="F131" s="133" t="s">
        <v>127</v>
      </c>
      <c r="G131" s="94"/>
      <c r="H131" s="95"/>
      <c r="I131" s="96"/>
      <c r="J131" s="119"/>
      <c r="K131" s="77"/>
      <c r="L131" s="77"/>
      <c r="M131" s="77"/>
      <c r="N131" s="77"/>
      <c r="O131" s="77"/>
      <c r="P131" s="77"/>
      <c r="Q131" s="78">
        <f t="shared" si="6"/>
        <v>0</v>
      </c>
      <c r="R131" s="57"/>
      <c r="S131" s="117"/>
      <c r="T131" s="114"/>
      <c r="U131" s="114"/>
    </row>
    <row r="132" spans="1:21" s="115" customFormat="1" ht="49.5" customHeight="1">
      <c r="A132" s="82"/>
      <c r="B132" s="110"/>
      <c r="C132" s="57"/>
      <c r="D132" s="131"/>
      <c r="E132" s="132" t="s">
        <v>237</v>
      </c>
      <c r="F132" s="112" t="s">
        <v>468</v>
      </c>
      <c r="G132" s="94" t="s">
        <v>389</v>
      </c>
      <c r="H132" s="95">
        <v>217</v>
      </c>
      <c r="I132" s="96" t="s">
        <v>469</v>
      </c>
      <c r="J132" s="119"/>
      <c r="K132" s="77">
        <v>5000000</v>
      </c>
      <c r="L132" s="77">
        <v>5000000</v>
      </c>
      <c r="M132" s="77">
        <v>5000000</v>
      </c>
      <c r="N132" s="77">
        <v>5000000</v>
      </c>
      <c r="O132" s="77">
        <v>5000000</v>
      </c>
      <c r="P132" s="77">
        <v>5000000</v>
      </c>
      <c r="Q132" s="78">
        <f t="shared" si="6"/>
        <v>30000000</v>
      </c>
      <c r="R132" s="57" t="s">
        <v>21</v>
      </c>
      <c r="S132" s="82" t="s">
        <v>250</v>
      </c>
      <c r="T132" s="114"/>
      <c r="U132" s="114"/>
    </row>
    <row r="133" spans="1:21" s="115" customFormat="1" ht="49.5" customHeight="1">
      <c r="A133" s="82"/>
      <c r="B133" s="110"/>
      <c r="C133" s="57"/>
      <c r="D133" s="131"/>
      <c r="E133" s="132">
        <v>5</v>
      </c>
      <c r="F133" s="141" t="s">
        <v>137</v>
      </c>
      <c r="G133" s="94"/>
      <c r="H133" s="95"/>
      <c r="I133" s="96"/>
      <c r="J133" s="119"/>
      <c r="K133" s="77"/>
      <c r="L133" s="77"/>
      <c r="M133" s="77"/>
      <c r="N133" s="77"/>
      <c r="O133" s="77"/>
      <c r="P133" s="77"/>
      <c r="Q133" s="78">
        <f t="shared" si="6"/>
        <v>0</v>
      </c>
      <c r="R133" s="57"/>
      <c r="S133" s="117"/>
      <c r="T133" s="114"/>
      <c r="U133" s="114"/>
    </row>
    <row r="134" spans="1:21" s="115" customFormat="1" ht="49.5" customHeight="1">
      <c r="A134" s="82"/>
      <c r="B134" s="110"/>
      <c r="C134" s="57"/>
      <c r="D134" s="131"/>
      <c r="E134" s="132" t="s">
        <v>236</v>
      </c>
      <c r="F134" s="112" t="s">
        <v>470</v>
      </c>
      <c r="G134" s="94"/>
      <c r="H134" s="95">
        <v>70</v>
      </c>
      <c r="I134" s="96" t="s">
        <v>469</v>
      </c>
      <c r="J134" s="119"/>
      <c r="K134" s="77">
        <f>70*12*40000</f>
        <v>33600000</v>
      </c>
      <c r="L134" s="77">
        <v>33600000</v>
      </c>
      <c r="M134" s="77">
        <v>33600000</v>
      </c>
      <c r="N134" s="77">
        <v>33600000</v>
      </c>
      <c r="O134" s="77">
        <v>33600000</v>
      </c>
      <c r="P134" s="77">
        <v>33600000</v>
      </c>
      <c r="Q134" s="78">
        <f t="shared" si="6"/>
        <v>201600000</v>
      </c>
      <c r="R134" s="57" t="s">
        <v>21</v>
      </c>
      <c r="S134" s="82" t="s">
        <v>250</v>
      </c>
      <c r="T134" s="114"/>
      <c r="U134" s="114"/>
    </row>
    <row r="135" spans="1:21" s="115" customFormat="1" ht="49.5" customHeight="1">
      <c r="A135" s="82"/>
      <c r="B135" s="110"/>
      <c r="C135" s="57"/>
      <c r="D135" s="131"/>
      <c r="E135" s="132" t="s">
        <v>237</v>
      </c>
      <c r="F135" s="112" t="s">
        <v>471</v>
      </c>
      <c r="G135" s="94"/>
      <c r="H135" s="95">
        <v>77</v>
      </c>
      <c r="I135" s="96" t="s">
        <v>469</v>
      </c>
      <c r="J135" s="119"/>
      <c r="K135" s="77">
        <f>77*12*40000</f>
        <v>36960000</v>
      </c>
      <c r="L135" s="77">
        <v>36960000</v>
      </c>
      <c r="M135" s="77">
        <v>36960000</v>
      </c>
      <c r="N135" s="77">
        <v>36960000</v>
      </c>
      <c r="O135" s="77">
        <v>36960000</v>
      </c>
      <c r="P135" s="77">
        <v>36960000</v>
      </c>
      <c r="Q135" s="78">
        <f t="shared" si="6"/>
        <v>221760000</v>
      </c>
      <c r="R135" s="57" t="s">
        <v>21</v>
      </c>
      <c r="S135" s="82" t="s">
        <v>250</v>
      </c>
      <c r="T135" s="114"/>
      <c r="U135" s="114"/>
    </row>
    <row r="136" spans="1:21" s="115" customFormat="1" ht="66.75" customHeight="1">
      <c r="A136" s="82"/>
      <c r="B136" s="110"/>
      <c r="C136" s="57"/>
      <c r="D136" s="131"/>
      <c r="E136" s="132">
        <v>6</v>
      </c>
      <c r="F136" s="133" t="s">
        <v>57</v>
      </c>
      <c r="G136" s="94"/>
      <c r="H136" s="95"/>
      <c r="I136" s="96"/>
      <c r="J136" s="119"/>
      <c r="K136" s="77"/>
      <c r="L136" s="77"/>
      <c r="M136" s="77"/>
      <c r="N136" s="77"/>
      <c r="O136" s="77"/>
      <c r="P136" s="77"/>
      <c r="Q136" s="78">
        <f t="shared" si="6"/>
        <v>0</v>
      </c>
      <c r="R136" s="57"/>
      <c r="S136" s="117"/>
      <c r="T136" s="114"/>
      <c r="U136" s="114"/>
    </row>
    <row r="137" spans="1:21" s="115" customFormat="1" ht="49.5" customHeight="1">
      <c r="A137" s="82"/>
      <c r="B137" s="110"/>
      <c r="C137" s="57"/>
      <c r="D137" s="131"/>
      <c r="E137" s="132" t="s">
        <v>236</v>
      </c>
      <c r="F137" s="112" t="s">
        <v>472</v>
      </c>
      <c r="G137" s="94" t="s">
        <v>389</v>
      </c>
      <c r="H137" s="95">
        <v>358</v>
      </c>
      <c r="I137" s="96" t="s">
        <v>256</v>
      </c>
      <c r="J137" s="119"/>
      <c r="K137" s="77">
        <f>358*4*10000</f>
        <v>14320000</v>
      </c>
      <c r="L137" s="77">
        <v>14320000</v>
      </c>
      <c r="M137" s="77">
        <v>14320000</v>
      </c>
      <c r="N137" s="77">
        <v>14320000</v>
      </c>
      <c r="O137" s="77">
        <v>14320000</v>
      </c>
      <c r="P137" s="77">
        <v>14320000</v>
      </c>
      <c r="Q137" s="78">
        <f t="shared" si="6"/>
        <v>85920000</v>
      </c>
      <c r="R137" s="57" t="s">
        <v>21</v>
      </c>
      <c r="S137" s="82" t="s">
        <v>250</v>
      </c>
      <c r="T137" s="114"/>
      <c r="U137" s="114"/>
    </row>
    <row r="138" spans="1:21" s="115" customFormat="1" ht="49.5" customHeight="1">
      <c r="A138" s="82"/>
      <c r="B138" s="110"/>
      <c r="C138" s="57"/>
      <c r="D138" s="131"/>
      <c r="E138" s="132"/>
      <c r="F138" s="112"/>
      <c r="G138" s="94"/>
      <c r="H138" s="95"/>
      <c r="I138" s="96"/>
      <c r="J138" s="119"/>
      <c r="K138" s="77"/>
      <c r="L138" s="77"/>
      <c r="M138" s="77"/>
      <c r="N138" s="77"/>
      <c r="O138" s="77"/>
      <c r="P138" s="77"/>
      <c r="Q138" s="78">
        <f t="shared" si="6"/>
        <v>0</v>
      </c>
      <c r="R138" s="57"/>
      <c r="S138" s="117"/>
      <c r="T138" s="114"/>
      <c r="U138" s="114"/>
    </row>
    <row r="139" spans="1:21" s="115" customFormat="1" ht="81.75" customHeight="1">
      <c r="A139" s="82"/>
      <c r="B139" s="110"/>
      <c r="C139" s="57"/>
      <c r="D139" s="131"/>
      <c r="E139" s="132">
        <v>7</v>
      </c>
      <c r="F139" s="134" t="s">
        <v>130</v>
      </c>
      <c r="G139" s="118"/>
      <c r="H139" s="135"/>
      <c r="I139" s="136"/>
      <c r="J139" s="119"/>
      <c r="K139" s="77"/>
      <c r="L139" s="77"/>
      <c r="M139" s="77"/>
      <c r="N139" s="77"/>
      <c r="O139" s="77"/>
      <c r="P139" s="77"/>
      <c r="Q139" s="78">
        <f t="shared" si="6"/>
        <v>0</v>
      </c>
      <c r="R139" s="57"/>
      <c r="S139" s="117"/>
      <c r="T139" s="114"/>
      <c r="U139" s="114"/>
    </row>
    <row r="140" spans="1:21" s="115" customFormat="1" ht="49.5" customHeight="1">
      <c r="A140" s="82"/>
      <c r="B140" s="110"/>
      <c r="C140" s="57"/>
      <c r="D140" s="131"/>
      <c r="E140" s="132" t="s">
        <v>236</v>
      </c>
      <c r="F140" s="139" t="s">
        <v>473</v>
      </c>
      <c r="G140" s="118" t="s">
        <v>474</v>
      </c>
      <c r="H140" s="135">
        <v>2</v>
      </c>
      <c r="I140" s="136" t="s">
        <v>276</v>
      </c>
      <c r="J140" s="119"/>
      <c r="K140" s="77"/>
      <c r="L140" s="77"/>
      <c r="M140" s="77">
        <f>2*300000</f>
        <v>600000</v>
      </c>
      <c r="N140" s="77"/>
      <c r="O140" s="77"/>
      <c r="P140" s="77"/>
      <c r="Q140" s="78">
        <f t="shared" si="6"/>
        <v>600000</v>
      </c>
      <c r="R140" s="57"/>
      <c r="S140" s="82" t="s">
        <v>250</v>
      </c>
      <c r="T140" s="114"/>
      <c r="U140" s="114"/>
    </row>
    <row r="141" spans="1:21" s="115" customFormat="1" ht="49.5" customHeight="1">
      <c r="A141" s="82"/>
      <c r="B141" s="110"/>
      <c r="C141" s="57"/>
      <c r="D141" s="131"/>
      <c r="E141" s="132" t="s">
        <v>237</v>
      </c>
      <c r="F141" s="139" t="s">
        <v>475</v>
      </c>
      <c r="G141" s="118" t="s">
        <v>476</v>
      </c>
      <c r="H141" s="135">
        <v>1</v>
      </c>
      <c r="I141" s="136" t="s">
        <v>255</v>
      </c>
      <c r="J141" s="119"/>
      <c r="K141" s="77"/>
      <c r="L141" s="77">
        <v>3000000</v>
      </c>
      <c r="M141" s="77"/>
      <c r="N141" s="77"/>
      <c r="O141" s="77"/>
      <c r="P141" s="77"/>
      <c r="Q141" s="78">
        <f t="shared" si="6"/>
        <v>3000000</v>
      </c>
      <c r="R141" s="57" t="s">
        <v>21</v>
      </c>
      <c r="S141" s="82" t="s">
        <v>250</v>
      </c>
      <c r="T141" s="114"/>
      <c r="U141" s="114"/>
    </row>
    <row r="142" spans="1:21" s="115" customFormat="1" ht="49.5" customHeight="1">
      <c r="A142" s="82"/>
      <c r="B142" s="110"/>
      <c r="C142" s="57"/>
      <c r="D142" s="131"/>
      <c r="E142" s="132" t="s">
        <v>238</v>
      </c>
      <c r="F142" s="139" t="s">
        <v>477</v>
      </c>
      <c r="G142" s="118" t="s">
        <v>478</v>
      </c>
      <c r="H142" s="135">
        <v>1</v>
      </c>
      <c r="I142" s="136" t="s">
        <v>255</v>
      </c>
      <c r="J142" s="119"/>
      <c r="K142" s="77"/>
      <c r="L142" s="77"/>
      <c r="M142" s="77">
        <v>3000000</v>
      </c>
      <c r="N142" s="77"/>
      <c r="O142" s="77"/>
      <c r="P142" s="77"/>
      <c r="Q142" s="78">
        <f t="shared" si="6"/>
        <v>3000000</v>
      </c>
      <c r="R142" s="57" t="s">
        <v>21</v>
      </c>
      <c r="S142" s="82" t="s">
        <v>250</v>
      </c>
      <c r="T142" s="114"/>
      <c r="U142" s="114"/>
    </row>
    <row r="143" spans="1:21" s="115" customFormat="1" ht="49.5" customHeight="1">
      <c r="A143" s="82"/>
      <c r="B143" s="110"/>
      <c r="C143" s="57"/>
      <c r="D143" s="131"/>
      <c r="E143" s="132" t="s">
        <v>239</v>
      </c>
      <c r="F143" s="139" t="s">
        <v>479</v>
      </c>
      <c r="G143" s="118" t="s">
        <v>480</v>
      </c>
      <c r="H143" s="135">
        <v>1</v>
      </c>
      <c r="I143" s="136" t="s">
        <v>255</v>
      </c>
      <c r="J143" s="119"/>
      <c r="K143" s="77"/>
      <c r="L143" s="77">
        <v>3000000</v>
      </c>
      <c r="M143" s="77"/>
      <c r="N143" s="77"/>
      <c r="O143" s="77"/>
      <c r="P143" s="77"/>
      <c r="Q143" s="78">
        <f t="shared" si="6"/>
        <v>3000000</v>
      </c>
      <c r="R143" s="57" t="s">
        <v>21</v>
      </c>
      <c r="S143" s="82" t="s">
        <v>250</v>
      </c>
      <c r="T143" s="114"/>
      <c r="U143" s="114"/>
    </row>
    <row r="144" spans="1:21" s="115" customFormat="1" ht="49.5" customHeight="1">
      <c r="A144" s="82"/>
      <c r="B144" s="110"/>
      <c r="C144" s="57"/>
      <c r="D144" s="131"/>
      <c r="E144" s="132" t="s">
        <v>240</v>
      </c>
      <c r="F144" s="139" t="s">
        <v>481</v>
      </c>
      <c r="G144" s="118" t="s">
        <v>480</v>
      </c>
      <c r="H144" s="135">
        <v>1</v>
      </c>
      <c r="I144" s="136" t="s">
        <v>255</v>
      </c>
      <c r="J144" s="119"/>
      <c r="K144" s="77"/>
      <c r="L144" s="77">
        <v>3000000</v>
      </c>
      <c r="M144" s="77"/>
      <c r="N144" s="77"/>
      <c r="O144" s="77"/>
      <c r="P144" s="77"/>
      <c r="Q144" s="78">
        <f t="shared" si="6"/>
        <v>3000000</v>
      </c>
      <c r="R144" s="57" t="s">
        <v>21</v>
      </c>
      <c r="S144" s="82" t="s">
        <v>250</v>
      </c>
      <c r="T144" s="114"/>
      <c r="U144" s="114"/>
    </row>
    <row r="145" spans="1:21" s="115" customFormat="1" ht="49.5" customHeight="1">
      <c r="A145" s="82"/>
      <c r="B145" s="110"/>
      <c r="C145" s="57"/>
      <c r="D145" s="131"/>
      <c r="E145" s="132" t="s">
        <v>241</v>
      </c>
      <c r="F145" s="139" t="s">
        <v>482</v>
      </c>
      <c r="G145" s="118" t="s">
        <v>483</v>
      </c>
      <c r="H145" s="135">
        <v>1</v>
      </c>
      <c r="I145" s="136" t="s">
        <v>255</v>
      </c>
      <c r="J145" s="119"/>
      <c r="K145" s="77"/>
      <c r="L145" s="77"/>
      <c r="M145" s="77">
        <v>1500000</v>
      </c>
      <c r="N145" s="77"/>
      <c r="O145" s="77"/>
      <c r="P145" s="77"/>
      <c r="Q145" s="78">
        <f t="shared" si="6"/>
        <v>1500000</v>
      </c>
      <c r="R145" s="57" t="s">
        <v>21</v>
      </c>
      <c r="S145" s="82" t="s">
        <v>250</v>
      </c>
      <c r="T145" s="114"/>
      <c r="U145" s="114"/>
    </row>
    <row r="146" spans="1:21" s="115" customFormat="1" ht="49.5" customHeight="1">
      <c r="A146" s="82"/>
      <c r="B146" s="110"/>
      <c r="C146" s="57"/>
      <c r="D146" s="131"/>
      <c r="E146" s="132" t="s">
        <v>242</v>
      </c>
      <c r="F146" s="139" t="s">
        <v>484</v>
      </c>
      <c r="G146" s="118" t="s">
        <v>485</v>
      </c>
      <c r="H146" s="135">
        <v>1</v>
      </c>
      <c r="I146" s="136" t="s">
        <v>255</v>
      </c>
      <c r="J146" s="119"/>
      <c r="K146" s="77"/>
      <c r="L146" s="77"/>
      <c r="M146" s="77">
        <v>1500000</v>
      </c>
      <c r="N146" s="77"/>
      <c r="O146" s="77"/>
      <c r="P146" s="77"/>
      <c r="Q146" s="78">
        <f t="shared" si="6"/>
        <v>1500000</v>
      </c>
      <c r="R146" s="57" t="s">
        <v>21</v>
      </c>
      <c r="S146" s="82" t="s">
        <v>250</v>
      </c>
      <c r="T146" s="114"/>
      <c r="U146" s="114"/>
    </row>
    <row r="147" spans="1:21" s="115" customFormat="1" ht="49.5" customHeight="1">
      <c r="A147" s="82"/>
      <c r="B147" s="110"/>
      <c r="C147" s="57"/>
      <c r="D147" s="131"/>
      <c r="E147" s="132" t="s">
        <v>243</v>
      </c>
      <c r="F147" s="139" t="s">
        <v>486</v>
      </c>
      <c r="G147" s="118" t="s">
        <v>487</v>
      </c>
      <c r="H147" s="135">
        <v>1</v>
      </c>
      <c r="I147" s="136" t="s">
        <v>255</v>
      </c>
      <c r="J147" s="119"/>
      <c r="K147" s="77"/>
      <c r="L147" s="77"/>
      <c r="M147" s="77"/>
      <c r="N147" s="77">
        <v>1500000</v>
      </c>
      <c r="O147" s="77"/>
      <c r="P147" s="77"/>
      <c r="Q147" s="78">
        <f t="shared" si="6"/>
        <v>1500000</v>
      </c>
      <c r="R147" s="57" t="s">
        <v>21</v>
      </c>
      <c r="S147" s="82" t="s">
        <v>250</v>
      </c>
      <c r="T147" s="114"/>
      <c r="U147" s="114"/>
    </row>
    <row r="148" spans="1:21" s="115" customFormat="1" ht="49.5" customHeight="1">
      <c r="A148" s="82"/>
      <c r="B148" s="110"/>
      <c r="C148" s="57"/>
      <c r="D148" s="131"/>
      <c r="E148" s="132" t="s">
        <v>244</v>
      </c>
      <c r="F148" s="139" t="s">
        <v>488</v>
      </c>
      <c r="G148" s="118" t="s">
        <v>487</v>
      </c>
      <c r="H148" s="135">
        <v>1</v>
      </c>
      <c r="I148" s="136" t="s">
        <v>255</v>
      </c>
      <c r="J148" s="119"/>
      <c r="K148" s="77"/>
      <c r="L148" s="77"/>
      <c r="M148" s="77"/>
      <c r="N148" s="77">
        <v>1500000</v>
      </c>
      <c r="O148" s="77"/>
      <c r="P148" s="77"/>
      <c r="Q148" s="78">
        <f t="shared" si="6"/>
        <v>1500000</v>
      </c>
      <c r="R148" s="57" t="s">
        <v>21</v>
      </c>
      <c r="S148" s="82" t="s">
        <v>250</v>
      </c>
      <c r="T148" s="114"/>
      <c r="U148" s="114"/>
    </row>
    <row r="149" spans="1:21" s="115" customFormat="1" ht="49.5" customHeight="1">
      <c r="A149" s="82"/>
      <c r="B149" s="110"/>
      <c r="C149" s="57"/>
      <c r="D149" s="131"/>
      <c r="E149" s="132" t="s">
        <v>266</v>
      </c>
      <c r="F149" s="139" t="s">
        <v>489</v>
      </c>
      <c r="G149" s="118" t="s">
        <v>490</v>
      </c>
      <c r="H149" s="135">
        <v>1</v>
      </c>
      <c r="I149" s="136" t="s">
        <v>255</v>
      </c>
      <c r="J149" s="119"/>
      <c r="K149" s="77"/>
      <c r="L149" s="77"/>
      <c r="M149" s="77">
        <v>1500000</v>
      </c>
      <c r="N149" s="77"/>
      <c r="O149" s="77"/>
      <c r="P149" s="77"/>
      <c r="Q149" s="78">
        <f t="shared" si="6"/>
        <v>1500000</v>
      </c>
      <c r="R149" s="57" t="s">
        <v>21</v>
      </c>
      <c r="S149" s="82" t="s">
        <v>250</v>
      </c>
      <c r="T149" s="114"/>
      <c r="U149" s="114"/>
    </row>
    <row r="150" spans="1:21" s="115" customFormat="1" ht="49.5" customHeight="1">
      <c r="A150" s="82"/>
      <c r="B150" s="110"/>
      <c r="C150" s="57"/>
      <c r="D150" s="131"/>
      <c r="E150" s="132" t="s">
        <v>245</v>
      </c>
      <c r="F150" s="139" t="s">
        <v>491</v>
      </c>
      <c r="G150" s="118" t="s">
        <v>490</v>
      </c>
      <c r="H150" s="135">
        <v>1</v>
      </c>
      <c r="I150" s="136" t="s">
        <v>255</v>
      </c>
      <c r="J150" s="119"/>
      <c r="K150" s="77"/>
      <c r="L150" s="77"/>
      <c r="M150" s="77">
        <f>7*200000</f>
        <v>1400000</v>
      </c>
      <c r="N150" s="77"/>
      <c r="O150" s="77"/>
      <c r="P150" s="77"/>
      <c r="Q150" s="78">
        <f t="shared" si="6"/>
        <v>1400000</v>
      </c>
      <c r="R150" s="57" t="s">
        <v>21</v>
      </c>
      <c r="S150" s="82" t="s">
        <v>250</v>
      </c>
      <c r="T150" s="114"/>
      <c r="U150" s="114"/>
    </row>
    <row r="151" spans="1:21" s="115" customFormat="1" ht="49.5" customHeight="1">
      <c r="A151" s="82"/>
      <c r="B151" s="110"/>
      <c r="C151" s="57"/>
      <c r="D151" s="131"/>
      <c r="E151" s="132" t="s">
        <v>246</v>
      </c>
      <c r="F151" s="139" t="s">
        <v>492</v>
      </c>
      <c r="G151" s="118" t="s">
        <v>493</v>
      </c>
      <c r="H151" s="135">
        <v>1</v>
      </c>
      <c r="I151" s="136" t="s">
        <v>255</v>
      </c>
      <c r="J151" s="119"/>
      <c r="K151" s="77"/>
      <c r="L151" s="77"/>
      <c r="M151" s="77"/>
      <c r="N151" s="77">
        <v>1500000</v>
      </c>
      <c r="O151" s="77"/>
      <c r="P151" s="77"/>
      <c r="Q151" s="78">
        <f t="shared" si="6"/>
        <v>1500000</v>
      </c>
      <c r="R151" s="57" t="s">
        <v>21</v>
      </c>
      <c r="S151" s="82" t="s">
        <v>250</v>
      </c>
      <c r="T151" s="114"/>
      <c r="U151" s="114"/>
    </row>
    <row r="152" spans="1:21" s="115" customFormat="1" ht="49.5" customHeight="1">
      <c r="A152" s="82"/>
      <c r="B152" s="110"/>
      <c r="C152" s="57"/>
      <c r="D152" s="131"/>
      <c r="E152" s="132" t="s">
        <v>26</v>
      </c>
      <c r="F152" s="139" t="s">
        <v>494</v>
      </c>
      <c r="G152" s="118" t="s">
        <v>495</v>
      </c>
      <c r="H152" s="135">
        <v>1</v>
      </c>
      <c r="I152" s="136" t="s">
        <v>255</v>
      </c>
      <c r="J152" s="119"/>
      <c r="K152" s="77"/>
      <c r="L152" s="77"/>
      <c r="M152" s="77"/>
      <c r="N152" s="77">
        <v>2000000</v>
      </c>
      <c r="O152" s="77"/>
      <c r="P152" s="77"/>
      <c r="Q152" s="78">
        <f t="shared" si="6"/>
        <v>2000000</v>
      </c>
      <c r="R152" s="57" t="s">
        <v>21</v>
      </c>
      <c r="S152" s="82" t="s">
        <v>250</v>
      </c>
      <c r="T152" s="114"/>
      <c r="U152" s="114"/>
    </row>
    <row r="153" spans="1:21" s="115" customFormat="1" ht="49.5" customHeight="1">
      <c r="A153" s="82"/>
      <c r="B153" s="110"/>
      <c r="C153" s="57"/>
      <c r="D153" s="131"/>
      <c r="E153" s="132" t="s">
        <v>247</v>
      </c>
      <c r="F153" s="139" t="s">
        <v>496</v>
      </c>
      <c r="G153" s="118" t="s">
        <v>497</v>
      </c>
      <c r="H153" s="135"/>
      <c r="I153" s="136" t="s">
        <v>255</v>
      </c>
      <c r="J153" s="119"/>
      <c r="K153" s="77"/>
      <c r="L153" s="77"/>
      <c r="M153" s="77">
        <f>7*200000</f>
        <v>1400000</v>
      </c>
      <c r="N153" s="77"/>
      <c r="O153" s="77"/>
      <c r="P153" s="77"/>
      <c r="Q153" s="78">
        <f t="shared" si="6"/>
        <v>1400000</v>
      </c>
      <c r="R153" s="57" t="s">
        <v>21</v>
      </c>
      <c r="S153" s="82" t="s">
        <v>250</v>
      </c>
      <c r="T153" s="114"/>
      <c r="U153" s="114"/>
    </row>
    <row r="154" spans="1:21" s="115" customFormat="1" ht="49.5" customHeight="1">
      <c r="A154" s="82"/>
      <c r="B154" s="110"/>
      <c r="C154" s="57"/>
      <c r="D154" s="131"/>
      <c r="E154" s="132" t="s">
        <v>248</v>
      </c>
      <c r="F154" s="139" t="s">
        <v>498</v>
      </c>
      <c r="G154" s="118" t="s">
        <v>493</v>
      </c>
      <c r="H154" s="135">
        <v>1</v>
      </c>
      <c r="I154" s="136" t="s">
        <v>255</v>
      </c>
      <c r="J154" s="119" t="s">
        <v>499</v>
      </c>
      <c r="K154" s="77">
        <f>7*200000</f>
        <v>1400000</v>
      </c>
      <c r="L154" s="77"/>
      <c r="M154" s="77"/>
      <c r="N154" s="77"/>
      <c r="O154" s="77"/>
      <c r="P154" s="77"/>
      <c r="Q154" s="78">
        <f t="shared" si="6"/>
        <v>1400000</v>
      </c>
      <c r="R154" s="57" t="s">
        <v>21</v>
      </c>
      <c r="S154" s="82" t="s">
        <v>250</v>
      </c>
      <c r="T154" s="114"/>
      <c r="U154" s="114"/>
    </row>
    <row r="155" spans="1:21" s="115" customFormat="1" ht="49.5" customHeight="1">
      <c r="A155" s="82"/>
      <c r="B155" s="110"/>
      <c r="C155" s="57"/>
      <c r="D155" s="131"/>
      <c r="E155" s="132" t="s">
        <v>249</v>
      </c>
      <c r="F155" s="139" t="s">
        <v>500</v>
      </c>
      <c r="G155" s="118" t="s">
        <v>497</v>
      </c>
      <c r="H155" s="135">
        <v>1</v>
      </c>
      <c r="I155" s="136" t="s">
        <v>255</v>
      </c>
      <c r="J155" s="119"/>
      <c r="K155" s="77"/>
      <c r="L155" s="77">
        <v>2000000</v>
      </c>
      <c r="M155" s="77"/>
      <c r="N155" s="77"/>
      <c r="O155" s="77"/>
      <c r="P155" s="77"/>
      <c r="Q155" s="78">
        <f t="shared" si="6"/>
        <v>2000000</v>
      </c>
      <c r="R155" s="57" t="s">
        <v>21</v>
      </c>
      <c r="S155" s="117"/>
      <c r="T155" s="114"/>
      <c r="U155" s="114"/>
    </row>
    <row r="156" spans="1:21" s="115" customFormat="1" ht="49.5" customHeight="1">
      <c r="A156" s="82"/>
      <c r="B156" s="110"/>
      <c r="C156" s="57"/>
      <c r="D156" s="131"/>
      <c r="E156" s="132">
        <v>8</v>
      </c>
      <c r="F156" s="133" t="s">
        <v>259</v>
      </c>
      <c r="G156" s="118"/>
      <c r="H156" s="135"/>
      <c r="I156" s="136"/>
      <c r="J156" s="119"/>
      <c r="K156" s="77"/>
      <c r="L156" s="77"/>
      <c r="M156" s="77"/>
      <c r="N156" s="77"/>
      <c r="O156" s="77"/>
      <c r="P156" s="77"/>
      <c r="Q156" s="78">
        <f t="shared" si="6"/>
        <v>0</v>
      </c>
      <c r="R156" s="57"/>
      <c r="S156" s="117"/>
      <c r="T156" s="114"/>
      <c r="U156" s="114"/>
    </row>
    <row r="157" spans="1:21" s="115" customFormat="1" ht="49.5" customHeight="1">
      <c r="A157" s="82"/>
      <c r="B157" s="110"/>
      <c r="C157" s="57"/>
      <c r="D157" s="131"/>
      <c r="E157" s="132" t="s">
        <v>236</v>
      </c>
      <c r="F157" s="118" t="s">
        <v>501</v>
      </c>
      <c r="G157" s="118"/>
      <c r="H157" s="135"/>
      <c r="I157" s="136"/>
      <c r="J157" s="119"/>
      <c r="K157" s="77"/>
      <c r="L157" s="77"/>
      <c r="M157" s="77"/>
      <c r="N157" s="77">
        <v>5000000</v>
      </c>
      <c r="O157" s="77"/>
      <c r="P157" s="77"/>
      <c r="Q157" s="78">
        <f t="shared" si="6"/>
        <v>5000000</v>
      </c>
      <c r="R157" s="57" t="s">
        <v>21</v>
      </c>
      <c r="S157" s="82" t="s">
        <v>250</v>
      </c>
      <c r="T157" s="114"/>
      <c r="U157" s="114"/>
    </row>
    <row r="158" spans="1:21" s="115" customFormat="1" ht="49.5" customHeight="1">
      <c r="A158" s="82"/>
      <c r="B158" s="110"/>
      <c r="C158" s="57"/>
      <c r="D158" s="131"/>
      <c r="E158" s="132">
        <v>9</v>
      </c>
      <c r="F158" s="133" t="s">
        <v>129</v>
      </c>
      <c r="G158" s="118"/>
      <c r="H158" s="135"/>
      <c r="I158" s="136"/>
      <c r="J158" s="119"/>
      <c r="K158" s="77"/>
      <c r="L158" s="77"/>
      <c r="M158" s="77"/>
      <c r="N158" s="77"/>
      <c r="O158" s="77"/>
      <c r="P158" s="77"/>
      <c r="Q158" s="78">
        <f t="shared" si="6"/>
        <v>0</v>
      </c>
      <c r="R158" s="57"/>
      <c r="S158" s="117"/>
      <c r="T158" s="114"/>
      <c r="U158" s="114"/>
    </row>
    <row r="159" spans="1:21" s="115" customFormat="1" ht="49.5" customHeight="1">
      <c r="A159" s="82"/>
      <c r="B159" s="110"/>
      <c r="C159" s="57"/>
      <c r="D159" s="131"/>
      <c r="E159" s="132" t="s">
        <v>236</v>
      </c>
      <c r="F159" s="142" t="s">
        <v>502</v>
      </c>
      <c r="G159" s="118"/>
      <c r="H159" s="135">
        <v>1</v>
      </c>
      <c r="I159" s="136"/>
      <c r="J159" s="119"/>
      <c r="K159" s="77"/>
      <c r="L159" s="77"/>
      <c r="M159" s="77">
        <v>2000000</v>
      </c>
      <c r="N159" s="77"/>
      <c r="O159" s="77"/>
      <c r="P159" s="77"/>
      <c r="Q159" s="78">
        <f t="shared" si="6"/>
        <v>2000000</v>
      </c>
      <c r="R159" s="57" t="s">
        <v>21</v>
      </c>
      <c r="S159" s="82" t="s">
        <v>250</v>
      </c>
      <c r="T159" s="114"/>
      <c r="U159" s="114"/>
    </row>
    <row r="160" spans="1:21" s="115" customFormat="1" ht="49.5" customHeight="1">
      <c r="A160" s="82"/>
      <c r="B160" s="110"/>
      <c r="C160" s="57"/>
      <c r="D160" s="131"/>
      <c r="E160" s="132">
        <v>10</v>
      </c>
      <c r="F160" s="133" t="s">
        <v>138</v>
      </c>
      <c r="G160" s="118"/>
      <c r="H160" s="135"/>
      <c r="I160" s="136"/>
      <c r="J160" s="119"/>
      <c r="K160" s="77"/>
      <c r="L160" s="77"/>
      <c r="M160" s="77"/>
      <c r="N160" s="77"/>
      <c r="O160" s="77"/>
      <c r="P160" s="77"/>
      <c r="Q160" s="78">
        <f t="shared" si="6"/>
        <v>0</v>
      </c>
      <c r="R160" s="57"/>
      <c r="S160" s="117"/>
      <c r="T160" s="114"/>
      <c r="U160" s="114"/>
    </row>
    <row r="161" spans="1:21" s="115" customFormat="1" ht="49.5" customHeight="1">
      <c r="A161" s="82"/>
      <c r="B161" s="110"/>
      <c r="C161" s="57"/>
      <c r="D161" s="131"/>
      <c r="E161" s="132" t="s">
        <v>236</v>
      </c>
      <c r="F161" s="142" t="s">
        <v>503</v>
      </c>
      <c r="G161" s="118" t="s">
        <v>504</v>
      </c>
      <c r="H161" s="135">
        <v>1</v>
      </c>
      <c r="I161" s="136"/>
      <c r="J161" s="119"/>
      <c r="K161" s="77"/>
      <c r="L161" s="77">
        <v>2000000</v>
      </c>
      <c r="M161" s="77"/>
      <c r="N161" s="77"/>
      <c r="O161" s="77"/>
      <c r="P161" s="77"/>
      <c r="Q161" s="78">
        <f t="shared" si="6"/>
        <v>2000000</v>
      </c>
      <c r="R161" s="57" t="s">
        <v>21</v>
      </c>
      <c r="S161" s="82" t="s">
        <v>250</v>
      </c>
      <c r="T161" s="114"/>
      <c r="U161" s="114"/>
    </row>
    <row r="162" spans="1:21" s="115" customFormat="1" ht="49.5" customHeight="1">
      <c r="A162" s="82"/>
      <c r="B162" s="110"/>
      <c r="C162" s="57"/>
      <c r="D162" s="131"/>
      <c r="E162" s="132" t="s">
        <v>237</v>
      </c>
      <c r="F162" s="118" t="s">
        <v>505</v>
      </c>
      <c r="G162" s="118" t="s">
        <v>265</v>
      </c>
      <c r="H162" s="135">
        <v>1</v>
      </c>
      <c r="I162" s="136"/>
      <c r="J162" s="119"/>
      <c r="K162" s="77"/>
      <c r="L162" s="77"/>
      <c r="M162" s="77"/>
      <c r="N162" s="77">
        <v>20000000</v>
      </c>
      <c r="O162" s="77"/>
      <c r="P162" s="77"/>
      <c r="Q162" s="78">
        <f t="shared" si="6"/>
        <v>20000000</v>
      </c>
      <c r="R162" s="57" t="s">
        <v>397</v>
      </c>
      <c r="S162" s="82" t="s">
        <v>250</v>
      </c>
      <c r="T162" s="114"/>
      <c r="U162" s="114"/>
    </row>
    <row r="163" spans="1:21" s="115" customFormat="1" ht="49.5" customHeight="1">
      <c r="A163" s="82"/>
      <c r="B163" s="110"/>
      <c r="C163" s="57"/>
      <c r="D163" s="131"/>
      <c r="E163" s="132" t="s">
        <v>238</v>
      </c>
      <c r="F163" s="142" t="s">
        <v>506</v>
      </c>
      <c r="G163" s="118" t="s">
        <v>507</v>
      </c>
      <c r="H163" s="135">
        <v>1</v>
      </c>
      <c r="I163" s="136"/>
      <c r="J163" s="119"/>
      <c r="K163" s="77"/>
      <c r="L163" s="77"/>
      <c r="M163" s="77">
        <v>200000000</v>
      </c>
      <c r="N163" s="77"/>
      <c r="O163" s="77"/>
      <c r="P163" s="77"/>
      <c r="Q163" s="78">
        <f t="shared" si="6"/>
        <v>200000000</v>
      </c>
      <c r="R163" s="57" t="s">
        <v>21</v>
      </c>
      <c r="S163" s="82" t="s">
        <v>250</v>
      </c>
      <c r="T163" s="114"/>
      <c r="U163" s="114"/>
    </row>
    <row r="164" spans="1:21" ht="34.5" customHeight="1">
      <c r="A164" s="82"/>
      <c r="B164" s="110"/>
      <c r="C164" s="56" t="s">
        <v>30</v>
      </c>
      <c r="D164" s="143" t="s">
        <v>25</v>
      </c>
      <c r="E164" s="97"/>
      <c r="F164" s="144"/>
      <c r="G164" s="73"/>
      <c r="H164" s="74"/>
      <c r="I164" s="82"/>
      <c r="J164" s="119"/>
      <c r="K164" s="77"/>
      <c r="L164" s="77"/>
      <c r="M164" s="77"/>
      <c r="N164" s="77"/>
      <c r="O164" s="77"/>
      <c r="P164" s="77"/>
      <c r="Q164" s="78">
        <f t="shared" si="6"/>
        <v>0</v>
      </c>
      <c r="R164" s="57"/>
      <c r="S164" s="129"/>
      <c r="T164" s="130"/>
      <c r="U164" s="130"/>
    </row>
    <row r="165" spans="1:21" s="115" customFormat="1" ht="61.5" customHeight="1">
      <c r="A165" s="82"/>
      <c r="B165" s="110"/>
      <c r="C165" s="57"/>
      <c r="D165" s="131"/>
      <c r="E165" s="132">
        <v>1</v>
      </c>
      <c r="F165" s="133" t="s">
        <v>141</v>
      </c>
      <c r="G165" s="73"/>
      <c r="H165" s="74"/>
      <c r="I165" s="82"/>
      <c r="J165" s="119"/>
      <c r="K165" s="77"/>
      <c r="L165" s="77"/>
      <c r="M165" s="77"/>
      <c r="N165" s="77"/>
      <c r="O165" s="77"/>
      <c r="P165" s="77"/>
      <c r="Q165" s="78">
        <f t="shared" si="6"/>
        <v>0</v>
      </c>
      <c r="R165" s="57"/>
      <c r="S165" s="117"/>
      <c r="T165" s="114"/>
      <c r="U165" s="114"/>
    </row>
    <row r="166" spans="1:21" s="115" customFormat="1" ht="48" customHeight="1">
      <c r="A166" s="82"/>
      <c r="B166" s="110"/>
      <c r="C166" s="57"/>
      <c r="D166" s="131"/>
      <c r="E166" s="132"/>
      <c r="F166" s="118" t="s">
        <v>508</v>
      </c>
      <c r="G166" s="94" t="s">
        <v>509</v>
      </c>
      <c r="H166" s="95">
        <v>2000</v>
      </c>
      <c r="I166" s="96" t="s">
        <v>26</v>
      </c>
      <c r="J166" s="119"/>
      <c r="K166" s="77">
        <f>108000*2000</f>
        <v>216000000</v>
      </c>
      <c r="L166" s="77"/>
      <c r="M166" s="77"/>
      <c r="N166" s="77"/>
      <c r="O166" s="77"/>
      <c r="P166" s="77"/>
      <c r="Q166" s="78">
        <f t="shared" si="6"/>
        <v>216000000</v>
      </c>
      <c r="R166" s="57" t="s">
        <v>400</v>
      </c>
      <c r="S166" s="82" t="s">
        <v>250</v>
      </c>
      <c r="T166" s="114"/>
      <c r="U166" s="114"/>
    </row>
    <row r="167" spans="1:21" s="115" customFormat="1" ht="48" customHeight="1">
      <c r="A167" s="82"/>
      <c r="B167" s="110"/>
      <c r="C167" s="57"/>
      <c r="D167" s="131"/>
      <c r="E167" s="132"/>
      <c r="F167" s="118" t="s">
        <v>510</v>
      </c>
      <c r="G167" s="94" t="s">
        <v>511</v>
      </c>
      <c r="H167" s="95">
        <v>2500</v>
      </c>
      <c r="I167" s="96" t="s">
        <v>26</v>
      </c>
      <c r="J167" s="119"/>
      <c r="K167" s="77"/>
      <c r="L167" s="77">
        <f>H167*3*108000</f>
        <v>810000000</v>
      </c>
      <c r="M167" s="77"/>
      <c r="N167" s="77"/>
      <c r="O167" s="77"/>
      <c r="P167" s="77"/>
      <c r="Q167" s="78">
        <f t="shared" si="6"/>
        <v>810000000</v>
      </c>
      <c r="R167" s="57" t="s">
        <v>400</v>
      </c>
      <c r="S167" s="82" t="s">
        <v>250</v>
      </c>
      <c r="T167" s="114"/>
      <c r="U167" s="114"/>
    </row>
    <row r="168" spans="1:21" s="115" customFormat="1" ht="48" customHeight="1">
      <c r="A168" s="82"/>
      <c r="B168" s="110"/>
      <c r="C168" s="57"/>
      <c r="D168" s="131"/>
      <c r="E168" s="132"/>
      <c r="F168" s="118" t="s">
        <v>512</v>
      </c>
      <c r="G168" s="94" t="s">
        <v>513</v>
      </c>
      <c r="H168" s="95">
        <v>2000</v>
      </c>
      <c r="I168" s="96" t="s">
        <v>26</v>
      </c>
      <c r="J168" s="119"/>
      <c r="K168" s="77"/>
      <c r="L168" s="77"/>
      <c r="M168" s="77"/>
      <c r="N168" s="77">
        <v>648000000</v>
      </c>
      <c r="O168" s="77"/>
      <c r="P168" s="77"/>
      <c r="Q168" s="78">
        <f t="shared" si="6"/>
        <v>648000000</v>
      </c>
      <c r="R168" s="57" t="s">
        <v>400</v>
      </c>
      <c r="S168" s="82" t="s">
        <v>250</v>
      </c>
      <c r="T168" s="114"/>
      <c r="U168" s="114"/>
    </row>
    <row r="169" spans="1:21" s="115" customFormat="1" ht="48" customHeight="1">
      <c r="A169" s="82"/>
      <c r="B169" s="110"/>
      <c r="C169" s="57"/>
      <c r="D169" s="131"/>
      <c r="E169" s="132"/>
      <c r="F169" s="118" t="s">
        <v>514</v>
      </c>
      <c r="G169" s="94" t="s">
        <v>283</v>
      </c>
      <c r="H169" s="95">
        <v>1000</v>
      </c>
      <c r="I169" s="96" t="s">
        <v>26</v>
      </c>
      <c r="J169" s="119"/>
      <c r="K169" s="77"/>
      <c r="L169" s="77"/>
      <c r="M169" s="77">
        <v>324000000</v>
      </c>
      <c r="N169" s="77"/>
      <c r="O169" s="77"/>
      <c r="P169" s="77"/>
      <c r="Q169" s="78">
        <f t="shared" si="6"/>
        <v>324000000</v>
      </c>
      <c r="R169" s="57" t="s">
        <v>400</v>
      </c>
      <c r="S169" s="82" t="s">
        <v>250</v>
      </c>
      <c r="T169" s="114"/>
      <c r="U169" s="114"/>
    </row>
    <row r="170" spans="1:21" s="115" customFormat="1" ht="48" customHeight="1">
      <c r="A170" s="82"/>
      <c r="B170" s="110"/>
      <c r="C170" s="57"/>
      <c r="D170" s="131"/>
      <c r="E170" s="132"/>
      <c r="F170" s="118" t="s">
        <v>515</v>
      </c>
      <c r="G170" s="93" t="s">
        <v>516</v>
      </c>
      <c r="H170" s="95">
        <v>2400</v>
      </c>
      <c r="I170" s="96" t="s">
        <v>26</v>
      </c>
      <c r="J170" s="119"/>
      <c r="K170" s="77"/>
      <c r="L170" s="77">
        <f>H170*3*100000</f>
        <v>720000000</v>
      </c>
      <c r="M170" s="77"/>
      <c r="N170" s="77"/>
      <c r="O170" s="77"/>
      <c r="P170" s="77"/>
      <c r="Q170" s="78">
        <f t="shared" si="6"/>
        <v>720000000</v>
      </c>
      <c r="R170" s="57" t="s">
        <v>400</v>
      </c>
      <c r="S170" s="82" t="s">
        <v>250</v>
      </c>
      <c r="T170" s="114"/>
      <c r="U170" s="114"/>
    </row>
    <row r="171" spans="1:21" s="115" customFormat="1" ht="48" customHeight="1">
      <c r="A171" s="82"/>
      <c r="B171" s="110"/>
      <c r="C171" s="57"/>
      <c r="D171" s="131"/>
      <c r="E171" s="132"/>
      <c r="F171" s="118" t="s">
        <v>261</v>
      </c>
      <c r="G171" s="93" t="s">
        <v>517</v>
      </c>
      <c r="H171" s="95">
        <v>100</v>
      </c>
      <c r="I171" s="96" t="s">
        <v>26</v>
      </c>
      <c r="J171" s="119"/>
      <c r="K171" s="77">
        <f>H171*3*108000</f>
        <v>32400000</v>
      </c>
      <c r="L171" s="77"/>
      <c r="M171" s="77"/>
      <c r="N171" s="77"/>
      <c r="O171" s="77"/>
      <c r="P171" s="77"/>
      <c r="Q171" s="78">
        <f t="shared" si="6"/>
        <v>32400000</v>
      </c>
      <c r="R171" s="57" t="s">
        <v>400</v>
      </c>
      <c r="S171" s="82" t="s">
        <v>250</v>
      </c>
      <c r="T171" s="114"/>
      <c r="U171" s="114"/>
    </row>
    <row r="172" spans="1:21" s="115" customFormat="1" ht="48" customHeight="1">
      <c r="A172" s="82"/>
      <c r="B172" s="110"/>
      <c r="C172" s="57"/>
      <c r="D172" s="131"/>
      <c r="E172" s="132"/>
      <c r="F172" s="118" t="str">
        <f>F171</f>
        <v>Pengaspalan Jalan Lingkungan</v>
      </c>
      <c r="G172" s="93" t="s">
        <v>518</v>
      </c>
      <c r="H172" s="95">
        <v>500</v>
      </c>
      <c r="I172" s="96" t="s">
        <v>26</v>
      </c>
      <c r="J172" s="119"/>
      <c r="K172" s="77"/>
      <c r="L172" s="77">
        <f>H172*3*108000</f>
        <v>162000000</v>
      </c>
      <c r="M172" s="77"/>
      <c r="N172" s="77"/>
      <c r="O172" s="77"/>
      <c r="P172" s="77"/>
      <c r="Q172" s="78">
        <f t="shared" si="6"/>
        <v>162000000</v>
      </c>
      <c r="R172" s="57" t="s">
        <v>400</v>
      </c>
      <c r="S172" s="82" t="s">
        <v>250</v>
      </c>
      <c r="T172" s="114"/>
      <c r="U172" s="114"/>
    </row>
    <row r="173" spans="1:21" s="115" customFormat="1" ht="48" customHeight="1">
      <c r="A173" s="82"/>
      <c r="B173" s="110"/>
      <c r="C173" s="57"/>
      <c r="D173" s="131"/>
      <c r="E173" s="132"/>
      <c r="F173" s="118" t="str">
        <f>F172</f>
        <v>Pengaspalan Jalan Lingkungan</v>
      </c>
      <c r="G173" s="93" t="s">
        <v>519</v>
      </c>
      <c r="H173" s="95">
        <v>1000</v>
      </c>
      <c r="I173" s="96" t="s">
        <v>26</v>
      </c>
      <c r="J173" s="119"/>
      <c r="K173" s="77"/>
      <c r="L173" s="77"/>
      <c r="M173" s="77">
        <v>324000000</v>
      </c>
      <c r="N173" s="77"/>
      <c r="O173" s="77"/>
      <c r="P173" s="77"/>
      <c r="Q173" s="78">
        <f t="shared" si="6"/>
        <v>324000000</v>
      </c>
      <c r="R173" s="57" t="s">
        <v>400</v>
      </c>
      <c r="S173" s="82" t="s">
        <v>250</v>
      </c>
      <c r="T173" s="114"/>
      <c r="U173" s="114"/>
    </row>
    <row r="174" spans="1:21" s="115" customFormat="1" ht="48" customHeight="1">
      <c r="A174" s="82"/>
      <c r="B174" s="110"/>
      <c r="C174" s="57"/>
      <c r="D174" s="131"/>
      <c r="E174" s="132"/>
      <c r="F174" s="118" t="str">
        <f>F173</f>
        <v>Pengaspalan Jalan Lingkungan</v>
      </c>
      <c r="G174" s="93" t="s">
        <v>520</v>
      </c>
      <c r="H174" s="95">
        <v>500</v>
      </c>
      <c r="I174" s="96" t="s">
        <v>26</v>
      </c>
      <c r="J174" s="119"/>
      <c r="K174" s="77"/>
      <c r="L174" s="77">
        <v>162000000</v>
      </c>
      <c r="M174" s="77"/>
      <c r="N174" s="77"/>
      <c r="O174" s="77"/>
      <c r="P174" s="77"/>
      <c r="Q174" s="78">
        <f t="shared" si="6"/>
        <v>162000000</v>
      </c>
      <c r="R174" s="57" t="s">
        <v>400</v>
      </c>
      <c r="S174" s="82" t="s">
        <v>250</v>
      </c>
      <c r="T174" s="114"/>
      <c r="U174" s="114"/>
    </row>
    <row r="175" spans="1:21" s="115" customFormat="1" ht="48" customHeight="1">
      <c r="A175" s="82"/>
      <c r="B175" s="110"/>
      <c r="C175" s="57"/>
      <c r="D175" s="131"/>
      <c r="E175" s="132"/>
      <c r="F175" s="112" t="s">
        <v>515</v>
      </c>
      <c r="G175" s="94" t="s">
        <v>521</v>
      </c>
      <c r="H175" s="95">
        <v>1000</v>
      </c>
      <c r="I175" s="96" t="s">
        <v>26</v>
      </c>
      <c r="J175" s="119"/>
      <c r="K175" s="77"/>
      <c r="L175" s="77"/>
      <c r="M175" s="77">
        <f>H175*3*100000</f>
        <v>300000000</v>
      </c>
      <c r="N175" s="77"/>
      <c r="O175" s="77"/>
      <c r="P175" s="77"/>
      <c r="Q175" s="78">
        <f t="shared" si="6"/>
        <v>300000000</v>
      </c>
      <c r="R175" s="57" t="s">
        <v>400</v>
      </c>
      <c r="S175" s="82" t="s">
        <v>250</v>
      </c>
      <c r="T175" s="114"/>
      <c r="U175" s="114"/>
    </row>
    <row r="176" spans="1:21" s="115" customFormat="1" ht="48" customHeight="1">
      <c r="A176" s="82"/>
      <c r="B176" s="110"/>
      <c r="C176" s="57"/>
      <c r="D176" s="131"/>
      <c r="E176" s="132"/>
      <c r="F176" s="112" t="s">
        <v>515</v>
      </c>
      <c r="G176" s="94" t="s">
        <v>522</v>
      </c>
      <c r="H176" s="95">
        <v>1500</v>
      </c>
      <c r="I176" s="96" t="s">
        <v>26</v>
      </c>
      <c r="J176" s="119" t="s">
        <v>254</v>
      </c>
      <c r="K176" s="77"/>
      <c r="L176" s="77">
        <f>H176*3*100000</f>
        <v>450000000</v>
      </c>
      <c r="M176" s="77"/>
      <c r="N176" s="77"/>
      <c r="O176" s="77"/>
      <c r="P176" s="77"/>
      <c r="Q176" s="78">
        <f t="shared" si="6"/>
        <v>450000000</v>
      </c>
      <c r="R176" s="57" t="s">
        <v>400</v>
      </c>
      <c r="S176" s="82" t="s">
        <v>250</v>
      </c>
      <c r="T176" s="114"/>
      <c r="U176" s="114"/>
    </row>
    <row r="177" spans="1:21" s="115" customFormat="1" ht="48" customHeight="1">
      <c r="A177" s="82"/>
      <c r="B177" s="110"/>
      <c r="C177" s="57"/>
      <c r="D177" s="131"/>
      <c r="E177" s="132"/>
      <c r="F177" s="112" t="s">
        <v>515</v>
      </c>
      <c r="G177" s="94" t="s">
        <v>270</v>
      </c>
      <c r="H177" s="95">
        <v>300</v>
      </c>
      <c r="I177" s="96" t="s">
        <v>26</v>
      </c>
      <c r="J177" s="119" t="s">
        <v>254</v>
      </c>
      <c r="K177" s="77">
        <f>H177*3*100000</f>
        <v>90000000</v>
      </c>
      <c r="L177" s="77"/>
      <c r="M177" s="77"/>
      <c r="N177" s="77"/>
      <c r="O177" s="77"/>
      <c r="P177" s="77"/>
      <c r="Q177" s="78">
        <f t="shared" si="6"/>
        <v>90000000</v>
      </c>
      <c r="R177" s="57" t="s">
        <v>400</v>
      </c>
      <c r="S177" s="82" t="s">
        <v>250</v>
      </c>
      <c r="T177" s="114"/>
      <c r="U177" s="114"/>
    </row>
    <row r="178" spans="1:21" s="115" customFormat="1" ht="48" customHeight="1">
      <c r="A178" s="82"/>
      <c r="B178" s="110"/>
      <c r="C178" s="57"/>
      <c r="D178" s="131"/>
      <c r="E178" s="132"/>
      <c r="F178" s="112" t="s">
        <v>523</v>
      </c>
      <c r="G178" s="94" t="s">
        <v>524</v>
      </c>
      <c r="H178" s="95">
        <v>400</v>
      </c>
      <c r="I178" s="96" t="s">
        <v>26</v>
      </c>
      <c r="J178" s="119" t="s">
        <v>254</v>
      </c>
      <c r="K178" s="77"/>
      <c r="L178" s="77"/>
      <c r="M178" s="77"/>
      <c r="N178" s="77">
        <f>H178*3*100000</f>
        <v>120000000</v>
      </c>
      <c r="O178" s="77"/>
      <c r="P178" s="77"/>
      <c r="Q178" s="78">
        <f t="shared" si="6"/>
        <v>120000000</v>
      </c>
      <c r="R178" s="57" t="s">
        <v>400</v>
      </c>
      <c r="S178" s="82" t="s">
        <v>250</v>
      </c>
      <c r="T178" s="114"/>
      <c r="U178" s="114"/>
    </row>
    <row r="179" spans="1:21" s="115" customFormat="1" ht="48" customHeight="1">
      <c r="A179" s="82"/>
      <c r="B179" s="110"/>
      <c r="C179" s="57"/>
      <c r="D179" s="131"/>
      <c r="E179" s="132"/>
      <c r="F179" s="112" t="str">
        <f>F178</f>
        <v>Pembangunan Cor Blok</v>
      </c>
      <c r="G179" s="94" t="s">
        <v>525</v>
      </c>
      <c r="H179" s="95">
        <v>300</v>
      </c>
      <c r="I179" s="96" t="s">
        <v>26</v>
      </c>
      <c r="J179" s="119" t="s">
        <v>254</v>
      </c>
      <c r="K179" s="77">
        <f>H179*3*100000</f>
        <v>90000000</v>
      </c>
      <c r="L179" s="77"/>
      <c r="M179" s="77"/>
      <c r="N179" s="77"/>
      <c r="O179" s="77"/>
      <c r="P179" s="77"/>
      <c r="Q179" s="78">
        <f t="shared" si="6"/>
        <v>90000000</v>
      </c>
      <c r="R179" s="57" t="s">
        <v>400</v>
      </c>
      <c r="S179" s="82" t="s">
        <v>250</v>
      </c>
      <c r="T179" s="114"/>
      <c r="U179" s="114"/>
    </row>
    <row r="180" spans="1:21" s="115" customFormat="1" ht="48" customHeight="1">
      <c r="A180" s="82"/>
      <c r="B180" s="110"/>
      <c r="C180" s="57"/>
      <c r="D180" s="131"/>
      <c r="E180" s="132"/>
      <c r="F180" s="112" t="str">
        <f>F179</f>
        <v>Pembangunan Cor Blok</v>
      </c>
      <c r="G180" s="94" t="s">
        <v>526</v>
      </c>
      <c r="H180" s="95">
        <v>300</v>
      </c>
      <c r="I180" s="96" t="s">
        <v>26</v>
      </c>
      <c r="J180" s="119" t="s">
        <v>254</v>
      </c>
      <c r="K180" s="77">
        <f>H180*3*100000</f>
        <v>90000000</v>
      </c>
      <c r="L180" s="77"/>
      <c r="M180" s="77"/>
      <c r="N180" s="77"/>
      <c r="O180" s="77"/>
      <c r="P180" s="77"/>
      <c r="Q180" s="78">
        <f t="shared" si="6"/>
        <v>90000000</v>
      </c>
      <c r="R180" s="57" t="s">
        <v>400</v>
      </c>
      <c r="S180" s="82" t="s">
        <v>250</v>
      </c>
      <c r="T180" s="114"/>
      <c r="U180" s="114"/>
    </row>
    <row r="181" spans="1:21" s="115" customFormat="1" ht="48" customHeight="1">
      <c r="A181" s="82"/>
      <c r="B181" s="110"/>
      <c r="C181" s="57"/>
      <c r="D181" s="131"/>
      <c r="E181" s="132"/>
      <c r="F181" s="112" t="str">
        <f>F180</f>
        <v>Pembangunan Cor Blok</v>
      </c>
      <c r="G181" s="94" t="s">
        <v>526</v>
      </c>
      <c r="H181" s="95">
        <v>300</v>
      </c>
      <c r="I181" s="96" t="s">
        <v>26</v>
      </c>
      <c r="J181" s="119" t="s">
        <v>254</v>
      </c>
      <c r="K181" s="77"/>
      <c r="L181" s="77"/>
      <c r="M181" s="77">
        <f>H181*3*100000</f>
        <v>90000000</v>
      </c>
      <c r="N181" s="77"/>
      <c r="O181" s="77"/>
      <c r="P181" s="77"/>
      <c r="Q181" s="78">
        <f t="shared" ref="Q181:Q243" si="7">SUM(K181:P181)</f>
        <v>90000000</v>
      </c>
      <c r="R181" s="57" t="s">
        <v>400</v>
      </c>
      <c r="S181" s="82" t="s">
        <v>250</v>
      </c>
      <c r="T181" s="114"/>
      <c r="U181" s="114"/>
    </row>
    <row r="182" spans="1:21" s="115" customFormat="1" ht="48" customHeight="1">
      <c r="A182" s="82"/>
      <c r="B182" s="110"/>
      <c r="C182" s="57"/>
      <c r="D182" s="131"/>
      <c r="E182" s="132"/>
      <c r="F182" s="112" t="s">
        <v>515</v>
      </c>
      <c r="G182" s="94" t="s">
        <v>527</v>
      </c>
      <c r="H182" s="95">
        <v>400</v>
      </c>
      <c r="I182" s="96" t="s">
        <v>26</v>
      </c>
      <c r="J182" s="119" t="s">
        <v>254</v>
      </c>
      <c r="K182" s="77"/>
      <c r="L182" s="77">
        <v>120000000</v>
      </c>
      <c r="M182" s="77"/>
      <c r="N182" s="77"/>
      <c r="O182" s="77"/>
      <c r="P182" s="77"/>
      <c r="Q182" s="78">
        <f t="shared" si="7"/>
        <v>120000000</v>
      </c>
      <c r="R182" s="57" t="s">
        <v>400</v>
      </c>
      <c r="S182" s="82" t="s">
        <v>250</v>
      </c>
      <c r="T182" s="114"/>
      <c r="U182" s="114"/>
    </row>
    <row r="183" spans="1:21" s="115" customFormat="1" ht="48" customHeight="1">
      <c r="A183" s="82"/>
      <c r="B183" s="110"/>
      <c r="C183" s="57"/>
      <c r="D183" s="131"/>
      <c r="E183" s="132"/>
      <c r="F183" s="112" t="str">
        <f>F182</f>
        <v>Pembangunan Cor Rabat Beton</v>
      </c>
      <c r="G183" s="94" t="s">
        <v>528</v>
      </c>
      <c r="H183" s="95">
        <v>100</v>
      </c>
      <c r="I183" s="96" t="s">
        <v>26</v>
      </c>
      <c r="J183" s="119" t="s">
        <v>254</v>
      </c>
      <c r="K183" s="77"/>
      <c r="L183" s="77">
        <v>30000000</v>
      </c>
      <c r="M183" s="77"/>
      <c r="N183" s="77"/>
      <c r="O183" s="77"/>
      <c r="P183" s="77"/>
      <c r="Q183" s="78">
        <f t="shared" si="7"/>
        <v>30000000</v>
      </c>
      <c r="R183" s="57" t="s">
        <v>400</v>
      </c>
      <c r="S183" s="82" t="s">
        <v>250</v>
      </c>
      <c r="T183" s="114"/>
      <c r="U183" s="114"/>
    </row>
    <row r="184" spans="1:21" s="115" customFormat="1" ht="48" customHeight="1">
      <c r="A184" s="82"/>
      <c r="B184" s="110"/>
      <c r="C184" s="57"/>
      <c r="D184" s="131"/>
      <c r="E184" s="132"/>
      <c r="F184" s="112" t="str">
        <f>F183</f>
        <v>Pembangunan Cor Rabat Beton</v>
      </c>
      <c r="G184" s="94" t="s">
        <v>529</v>
      </c>
      <c r="H184" s="95">
        <v>200</v>
      </c>
      <c r="I184" s="96" t="s">
        <v>26</v>
      </c>
      <c r="J184" s="119" t="s">
        <v>254</v>
      </c>
      <c r="K184" s="77"/>
      <c r="L184" s="77"/>
      <c r="M184" s="77"/>
      <c r="N184" s="77"/>
      <c r="O184" s="77">
        <f>H184*3*100000</f>
        <v>60000000</v>
      </c>
      <c r="P184" s="77"/>
      <c r="Q184" s="78">
        <f t="shared" si="7"/>
        <v>60000000</v>
      </c>
      <c r="R184" s="57" t="s">
        <v>400</v>
      </c>
      <c r="S184" s="82" t="s">
        <v>250</v>
      </c>
      <c r="T184" s="114"/>
      <c r="U184" s="114"/>
    </row>
    <row r="185" spans="1:21" s="115" customFormat="1" ht="48" customHeight="1">
      <c r="A185" s="82"/>
      <c r="B185" s="110"/>
      <c r="C185" s="57"/>
      <c r="D185" s="131"/>
      <c r="E185" s="132"/>
      <c r="F185" s="112" t="str">
        <f t="shared" ref="F185:F187" si="8">F184</f>
        <v>Pembangunan Cor Rabat Beton</v>
      </c>
      <c r="G185" s="94" t="s">
        <v>530</v>
      </c>
      <c r="H185" s="95">
        <v>300</v>
      </c>
      <c r="I185" s="96" t="s">
        <v>26</v>
      </c>
      <c r="J185" s="119" t="s">
        <v>254</v>
      </c>
      <c r="K185" s="77"/>
      <c r="L185" s="77">
        <f>H185*100000*3</f>
        <v>90000000</v>
      </c>
      <c r="M185" s="77"/>
      <c r="N185" s="77"/>
      <c r="O185" s="77"/>
      <c r="P185" s="77"/>
      <c r="Q185" s="78">
        <f t="shared" si="7"/>
        <v>90000000</v>
      </c>
      <c r="R185" s="57" t="s">
        <v>400</v>
      </c>
      <c r="S185" s="82" t="s">
        <v>250</v>
      </c>
      <c r="T185" s="114"/>
      <c r="U185" s="114"/>
    </row>
    <row r="186" spans="1:21" s="115" customFormat="1" ht="48" customHeight="1">
      <c r="A186" s="82"/>
      <c r="B186" s="110"/>
      <c r="C186" s="57"/>
      <c r="D186" s="131"/>
      <c r="E186" s="132"/>
      <c r="F186" s="112" t="str">
        <f t="shared" si="8"/>
        <v>Pembangunan Cor Rabat Beton</v>
      </c>
      <c r="G186" s="94" t="s">
        <v>531</v>
      </c>
      <c r="H186" s="95">
        <v>300</v>
      </c>
      <c r="I186" s="96" t="s">
        <v>26</v>
      </c>
      <c r="J186" s="119" t="s">
        <v>254</v>
      </c>
      <c r="K186" s="77"/>
      <c r="L186" s="77"/>
      <c r="M186" s="77">
        <f>H186*3*100000</f>
        <v>90000000</v>
      </c>
      <c r="N186" s="77"/>
      <c r="O186" s="77"/>
      <c r="P186" s="77"/>
      <c r="Q186" s="78">
        <f t="shared" si="7"/>
        <v>90000000</v>
      </c>
      <c r="R186" s="57" t="s">
        <v>400</v>
      </c>
      <c r="S186" s="82" t="s">
        <v>250</v>
      </c>
      <c r="T186" s="114"/>
      <c r="U186" s="114"/>
    </row>
    <row r="187" spans="1:21" s="115" customFormat="1" ht="48" customHeight="1">
      <c r="A187" s="82"/>
      <c r="B187" s="110"/>
      <c r="C187" s="57"/>
      <c r="D187" s="131"/>
      <c r="E187" s="132"/>
      <c r="F187" s="112" t="str">
        <f t="shared" si="8"/>
        <v>Pembangunan Cor Rabat Beton</v>
      </c>
      <c r="G187" s="94" t="s">
        <v>532</v>
      </c>
      <c r="H187" s="95">
        <v>300</v>
      </c>
      <c r="I187" s="96" t="s">
        <v>26</v>
      </c>
      <c r="J187" s="119" t="s">
        <v>254</v>
      </c>
      <c r="K187" s="77"/>
      <c r="L187" s="77"/>
      <c r="M187" s="77">
        <v>90000000</v>
      </c>
      <c r="N187" s="77"/>
      <c r="O187" s="77"/>
      <c r="P187" s="77"/>
      <c r="Q187" s="78">
        <f t="shared" si="7"/>
        <v>90000000</v>
      </c>
      <c r="R187" s="57" t="s">
        <v>400</v>
      </c>
      <c r="S187" s="82" t="s">
        <v>250</v>
      </c>
      <c r="T187" s="114"/>
      <c r="U187" s="114"/>
    </row>
    <row r="188" spans="1:21" s="115" customFormat="1" ht="48" customHeight="1">
      <c r="A188" s="82"/>
      <c r="B188" s="110"/>
      <c r="C188" s="57"/>
      <c r="D188" s="131"/>
      <c r="E188" s="132"/>
      <c r="F188" s="112" t="str">
        <f>F187</f>
        <v>Pembangunan Cor Rabat Beton</v>
      </c>
      <c r="G188" s="94" t="s">
        <v>533</v>
      </c>
      <c r="H188" s="95">
        <v>300</v>
      </c>
      <c r="I188" s="96" t="s">
        <v>26</v>
      </c>
      <c r="J188" s="119" t="s">
        <v>254</v>
      </c>
      <c r="K188" s="77"/>
      <c r="L188" s="77"/>
      <c r="M188" s="77">
        <v>90000000</v>
      </c>
      <c r="N188" s="77"/>
      <c r="O188" s="77"/>
      <c r="P188" s="77"/>
      <c r="Q188" s="78">
        <f t="shared" si="7"/>
        <v>90000000</v>
      </c>
      <c r="R188" s="57" t="s">
        <v>400</v>
      </c>
      <c r="S188" s="82" t="s">
        <v>250</v>
      </c>
      <c r="T188" s="114"/>
      <c r="U188" s="114"/>
    </row>
    <row r="189" spans="1:21" s="115" customFormat="1" ht="48" customHeight="1">
      <c r="A189" s="82"/>
      <c r="B189" s="110"/>
      <c r="C189" s="57"/>
      <c r="D189" s="131"/>
      <c r="E189" s="132"/>
      <c r="F189" s="112" t="str">
        <f t="shared" ref="F189:F192" si="9">F188</f>
        <v>Pembangunan Cor Rabat Beton</v>
      </c>
      <c r="G189" s="94" t="s">
        <v>534</v>
      </c>
      <c r="H189" s="95">
        <v>200</v>
      </c>
      <c r="I189" s="96" t="s">
        <v>26</v>
      </c>
      <c r="J189" s="119" t="s">
        <v>254</v>
      </c>
      <c r="K189" s="77">
        <f>H189*3*100000</f>
        <v>60000000</v>
      </c>
      <c r="L189" s="77"/>
      <c r="M189" s="77"/>
      <c r="N189" s="77"/>
      <c r="O189" s="77"/>
      <c r="P189" s="77"/>
      <c r="Q189" s="78">
        <f t="shared" si="7"/>
        <v>60000000</v>
      </c>
      <c r="R189" s="57" t="s">
        <v>21</v>
      </c>
      <c r="S189" s="82" t="s">
        <v>250</v>
      </c>
      <c r="T189" s="114"/>
      <c r="U189" s="114"/>
    </row>
    <row r="190" spans="1:21" s="115" customFormat="1" ht="48" customHeight="1">
      <c r="A190" s="82"/>
      <c r="B190" s="110"/>
      <c r="C190" s="57"/>
      <c r="D190" s="131"/>
      <c r="E190" s="132"/>
      <c r="F190" s="112" t="str">
        <f t="shared" si="9"/>
        <v>Pembangunan Cor Rabat Beton</v>
      </c>
      <c r="G190" s="94" t="s">
        <v>273</v>
      </c>
      <c r="H190" s="95">
        <v>500</v>
      </c>
      <c r="I190" s="96" t="s">
        <v>26</v>
      </c>
      <c r="J190" s="119" t="s">
        <v>254</v>
      </c>
      <c r="K190" s="77"/>
      <c r="L190" s="77"/>
      <c r="M190" s="77">
        <f>H190*3*100000</f>
        <v>150000000</v>
      </c>
      <c r="N190" s="77"/>
      <c r="O190" s="77"/>
      <c r="P190" s="77"/>
      <c r="Q190" s="78">
        <f t="shared" si="7"/>
        <v>150000000</v>
      </c>
      <c r="R190" s="57" t="s">
        <v>400</v>
      </c>
      <c r="S190" s="82" t="s">
        <v>250</v>
      </c>
      <c r="T190" s="114"/>
      <c r="U190" s="114"/>
    </row>
    <row r="191" spans="1:21" s="115" customFormat="1" ht="48" customHeight="1">
      <c r="A191" s="82"/>
      <c r="B191" s="110"/>
      <c r="C191" s="57"/>
      <c r="D191" s="131"/>
      <c r="E191" s="132"/>
      <c r="F191" s="112" t="str">
        <f t="shared" si="9"/>
        <v>Pembangunan Cor Rabat Beton</v>
      </c>
      <c r="G191" s="94" t="s">
        <v>535</v>
      </c>
      <c r="H191" s="95">
        <v>900</v>
      </c>
      <c r="I191" s="96" t="s">
        <v>26</v>
      </c>
      <c r="J191" s="119" t="s">
        <v>254</v>
      </c>
      <c r="K191" s="77">
        <f>H191*3*100000</f>
        <v>270000000</v>
      </c>
      <c r="L191" s="77"/>
      <c r="M191" s="77"/>
      <c r="N191" s="77"/>
      <c r="O191" s="77"/>
      <c r="P191" s="77"/>
      <c r="Q191" s="78">
        <f t="shared" si="7"/>
        <v>270000000</v>
      </c>
      <c r="R191" s="57" t="s">
        <v>400</v>
      </c>
      <c r="S191" s="82" t="s">
        <v>250</v>
      </c>
      <c r="T191" s="114"/>
      <c r="U191" s="114"/>
    </row>
    <row r="192" spans="1:21" s="115" customFormat="1" ht="48" customHeight="1">
      <c r="A192" s="82"/>
      <c r="B192" s="110"/>
      <c r="C192" s="57"/>
      <c r="D192" s="131"/>
      <c r="E192" s="132"/>
      <c r="F192" s="112" t="str">
        <f t="shared" si="9"/>
        <v>Pembangunan Cor Rabat Beton</v>
      </c>
      <c r="G192" s="94" t="s">
        <v>536</v>
      </c>
      <c r="H192" s="95">
        <v>250</v>
      </c>
      <c r="I192" s="96" t="s">
        <v>26</v>
      </c>
      <c r="J192" s="119" t="s">
        <v>254</v>
      </c>
      <c r="K192" s="77"/>
      <c r="L192" s="77">
        <f>H192*100000*3</f>
        <v>75000000</v>
      </c>
      <c r="M192" s="77"/>
      <c r="N192" s="77"/>
      <c r="O192" s="77"/>
      <c r="P192" s="77"/>
      <c r="Q192" s="78">
        <f t="shared" si="7"/>
        <v>75000000</v>
      </c>
      <c r="R192" s="57" t="s">
        <v>400</v>
      </c>
      <c r="S192" s="82" t="s">
        <v>250</v>
      </c>
      <c r="T192" s="114"/>
      <c r="U192" s="114"/>
    </row>
    <row r="193" spans="1:21" s="115" customFormat="1" ht="48" customHeight="1">
      <c r="A193" s="82"/>
      <c r="B193" s="110"/>
      <c r="C193" s="57"/>
      <c r="D193" s="131"/>
      <c r="E193" s="132"/>
      <c r="F193" s="112" t="s">
        <v>515</v>
      </c>
      <c r="G193" s="94" t="s">
        <v>537</v>
      </c>
      <c r="H193" s="95">
        <v>90</v>
      </c>
      <c r="I193" s="96" t="s">
        <v>26</v>
      </c>
      <c r="J193" s="119" t="s">
        <v>254</v>
      </c>
      <c r="K193" s="77">
        <f>H193*100000*3</f>
        <v>27000000</v>
      </c>
      <c r="L193" s="77"/>
      <c r="M193" s="77"/>
      <c r="N193" s="77"/>
      <c r="O193" s="77"/>
      <c r="P193" s="77"/>
      <c r="Q193" s="78">
        <f t="shared" si="7"/>
        <v>27000000</v>
      </c>
      <c r="R193" s="57" t="s">
        <v>400</v>
      </c>
      <c r="S193" s="82" t="s">
        <v>250</v>
      </c>
      <c r="T193" s="114"/>
      <c r="U193" s="114"/>
    </row>
    <row r="194" spans="1:21" s="115" customFormat="1" ht="48" customHeight="1">
      <c r="A194" s="82"/>
      <c r="B194" s="110"/>
      <c r="C194" s="57"/>
      <c r="D194" s="131"/>
      <c r="E194" s="132"/>
      <c r="F194" s="112" t="s">
        <v>515</v>
      </c>
      <c r="G194" s="94" t="s">
        <v>538</v>
      </c>
      <c r="H194" s="95">
        <v>200</v>
      </c>
      <c r="I194" s="96" t="s">
        <v>26</v>
      </c>
      <c r="J194" s="119" t="s">
        <v>254</v>
      </c>
      <c r="K194" s="77"/>
      <c r="L194" s="77"/>
      <c r="M194" s="77"/>
      <c r="N194" s="77">
        <v>60000000</v>
      </c>
      <c r="O194" s="77"/>
      <c r="P194" s="77"/>
      <c r="Q194" s="78">
        <f t="shared" si="7"/>
        <v>60000000</v>
      </c>
      <c r="R194" s="57" t="s">
        <v>400</v>
      </c>
      <c r="S194" s="82" t="s">
        <v>250</v>
      </c>
      <c r="T194" s="114"/>
      <c r="U194" s="114"/>
    </row>
    <row r="195" spans="1:21" s="115" customFormat="1" ht="48" customHeight="1">
      <c r="A195" s="82"/>
      <c r="B195" s="110"/>
      <c r="C195" s="57"/>
      <c r="D195" s="131"/>
      <c r="E195" s="132"/>
      <c r="F195" s="112" t="s">
        <v>515</v>
      </c>
      <c r="G195" s="94" t="s">
        <v>539</v>
      </c>
      <c r="H195" s="95">
        <v>100</v>
      </c>
      <c r="I195" s="96" t="s">
        <v>26</v>
      </c>
      <c r="J195" s="119" t="s">
        <v>254</v>
      </c>
      <c r="K195" s="77"/>
      <c r="L195" s="77"/>
      <c r="M195" s="77"/>
      <c r="N195" s="77">
        <v>30000000</v>
      </c>
      <c r="O195" s="77"/>
      <c r="P195" s="77"/>
      <c r="Q195" s="78">
        <f t="shared" si="7"/>
        <v>30000000</v>
      </c>
      <c r="R195" s="57" t="s">
        <v>400</v>
      </c>
      <c r="S195" s="82" t="s">
        <v>250</v>
      </c>
      <c r="T195" s="114"/>
      <c r="U195" s="114"/>
    </row>
    <row r="196" spans="1:21" s="115" customFormat="1" ht="48" customHeight="1">
      <c r="A196" s="82"/>
      <c r="B196" s="110"/>
      <c r="C196" s="57"/>
      <c r="D196" s="131"/>
      <c r="E196" s="132"/>
      <c r="F196" s="112" t="s">
        <v>515</v>
      </c>
      <c r="G196" s="94" t="s">
        <v>540</v>
      </c>
      <c r="H196" s="95">
        <v>100</v>
      </c>
      <c r="I196" s="96" t="s">
        <v>26</v>
      </c>
      <c r="J196" s="119" t="s">
        <v>254</v>
      </c>
      <c r="K196" s="77">
        <f t="shared" ref="K196:K198" si="10">H196*100000*3</f>
        <v>30000000</v>
      </c>
      <c r="L196" s="77"/>
      <c r="M196" s="77"/>
      <c r="N196" s="77"/>
      <c r="O196" s="77"/>
      <c r="P196" s="77"/>
      <c r="Q196" s="78">
        <f t="shared" si="7"/>
        <v>30000000</v>
      </c>
      <c r="R196" s="57" t="s">
        <v>400</v>
      </c>
      <c r="S196" s="82" t="s">
        <v>250</v>
      </c>
      <c r="T196" s="114"/>
      <c r="U196" s="114"/>
    </row>
    <row r="197" spans="1:21" s="115" customFormat="1" ht="48" customHeight="1">
      <c r="A197" s="82"/>
      <c r="B197" s="110"/>
      <c r="C197" s="57"/>
      <c r="D197" s="131"/>
      <c r="E197" s="132"/>
      <c r="F197" s="112" t="s">
        <v>515</v>
      </c>
      <c r="G197" s="94" t="s">
        <v>541</v>
      </c>
      <c r="H197" s="95">
        <v>100</v>
      </c>
      <c r="I197" s="96" t="s">
        <v>26</v>
      </c>
      <c r="J197" s="119" t="s">
        <v>254</v>
      </c>
      <c r="K197" s="77">
        <f t="shared" si="10"/>
        <v>30000000</v>
      </c>
      <c r="L197" s="77"/>
      <c r="M197" s="77"/>
      <c r="N197" s="77"/>
      <c r="O197" s="77"/>
      <c r="P197" s="77"/>
      <c r="Q197" s="78">
        <f t="shared" si="7"/>
        <v>30000000</v>
      </c>
      <c r="R197" s="57" t="s">
        <v>400</v>
      </c>
      <c r="S197" s="82" t="s">
        <v>250</v>
      </c>
      <c r="T197" s="114"/>
      <c r="U197" s="114"/>
    </row>
    <row r="198" spans="1:21" s="115" customFormat="1" ht="48" customHeight="1">
      <c r="A198" s="82"/>
      <c r="B198" s="110"/>
      <c r="C198" s="57"/>
      <c r="D198" s="131"/>
      <c r="E198" s="132"/>
      <c r="F198" s="112" t="s">
        <v>515</v>
      </c>
      <c r="G198" s="94" t="s">
        <v>542</v>
      </c>
      <c r="H198" s="95">
        <v>100</v>
      </c>
      <c r="I198" s="96"/>
      <c r="J198" s="119" t="s">
        <v>254</v>
      </c>
      <c r="K198" s="77">
        <f t="shared" si="10"/>
        <v>30000000</v>
      </c>
      <c r="L198" s="77"/>
      <c r="M198" s="77"/>
      <c r="N198" s="77"/>
      <c r="O198" s="77"/>
      <c r="P198" s="77"/>
      <c r="Q198" s="78">
        <f t="shared" si="7"/>
        <v>30000000</v>
      </c>
      <c r="R198" s="57" t="s">
        <v>400</v>
      </c>
      <c r="S198" s="82" t="s">
        <v>250</v>
      </c>
      <c r="T198" s="114"/>
      <c r="U198" s="114"/>
    </row>
    <row r="199" spans="1:21" s="115" customFormat="1" ht="53.25" customHeight="1">
      <c r="A199" s="82"/>
      <c r="B199" s="110"/>
      <c r="C199" s="57"/>
      <c r="D199" s="131"/>
      <c r="E199" s="132"/>
      <c r="F199" s="133" t="s">
        <v>143</v>
      </c>
      <c r="G199" s="94"/>
      <c r="H199" s="95"/>
      <c r="I199" s="96"/>
      <c r="J199" s="119"/>
      <c r="K199" s="77"/>
      <c r="L199" s="77"/>
      <c r="M199" s="77"/>
      <c r="N199" s="77"/>
      <c r="O199" s="77"/>
      <c r="P199" s="77"/>
      <c r="Q199" s="78">
        <f t="shared" si="7"/>
        <v>0</v>
      </c>
      <c r="R199" s="57"/>
      <c r="S199" s="117"/>
      <c r="T199" s="114"/>
      <c r="U199" s="114"/>
    </row>
    <row r="200" spans="1:21" s="115" customFormat="1" ht="48" customHeight="1">
      <c r="A200" s="82"/>
      <c r="B200" s="110"/>
      <c r="C200" s="57"/>
      <c r="D200" s="131"/>
      <c r="E200" s="132"/>
      <c r="F200" s="112" t="s">
        <v>543</v>
      </c>
      <c r="G200" s="93" t="s">
        <v>282</v>
      </c>
      <c r="H200" s="95">
        <v>1000</v>
      </c>
      <c r="I200" s="96" t="s">
        <v>26</v>
      </c>
      <c r="J200" s="119" t="s">
        <v>254</v>
      </c>
      <c r="K200" s="77"/>
      <c r="L200" s="77"/>
      <c r="M200" s="77">
        <f>H200*1.2*340000</f>
        <v>408000000</v>
      </c>
      <c r="N200" s="77"/>
      <c r="O200" s="77"/>
      <c r="P200" s="77"/>
      <c r="Q200" s="78">
        <f t="shared" si="7"/>
        <v>408000000</v>
      </c>
      <c r="R200" s="57" t="s">
        <v>400</v>
      </c>
      <c r="S200" s="82" t="s">
        <v>250</v>
      </c>
      <c r="T200" s="114"/>
      <c r="U200" s="114"/>
    </row>
    <row r="201" spans="1:21" s="115" customFormat="1" ht="48" customHeight="1">
      <c r="A201" s="82"/>
      <c r="B201" s="110"/>
      <c r="C201" s="57"/>
      <c r="D201" s="131"/>
      <c r="E201" s="132"/>
      <c r="F201" s="112" t="s">
        <v>544</v>
      </c>
      <c r="G201" s="94" t="s">
        <v>282</v>
      </c>
      <c r="H201" s="95">
        <v>1</v>
      </c>
      <c r="I201" s="96" t="s">
        <v>41</v>
      </c>
      <c r="J201" s="119" t="s">
        <v>254</v>
      </c>
      <c r="K201" s="77"/>
      <c r="L201" s="77">
        <f>H201*17000000</f>
        <v>17000000</v>
      </c>
      <c r="M201" s="77"/>
      <c r="N201" s="77"/>
      <c r="O201" s="77"/>
      <c r="P201" s="77"/>
      <c r="Q201" s="78">
        <f t="shared" si="7"/>
        <v>17000000</v>
      </c>
      <c r="R201" s="57" t="s">
        <v>400</v>
      </c>
      <c r="S201" s="82" t="s">
        <v>250</v>
      </c>
      <c r="T201" s="114"/>
      <c r="U201" s="114"/>
    </row>
    <row r="202" spans="1:21" s="115" customFormat="1" ht="48" customHeight="1">
      <c r="A202" s="82"/>
      <c r="B202" s="110"/>
      <c r="C202" s="57"/>
      <c r="D202" s="131"/>
      <c r="E202" s="132"/>
      <c r="F202" s="112" t="s">
        <v>545</v>
      </c>
      <c r="G202" s="94" t="s">
        <v>546</v>
      </c>
      <c r="H202" s="95">
        <v>30</v>
      </c>
      <c r="I202" s="96" t="s">
        <v>26</v>
      </c>
      <c r="J202" s="119" t="s">
        <v>254</v>
      </c>
      <c r="K202" s="77"/>
      <c r="L202" s="77">
        <f>H202*370000</f>
        <v>11100000</v>
      </c>
      <c r="M202" s="77"/>
      <c r="N202" s="77"/>
      <c r="O202" s="77"/>
      <c r="P202" s="77"/>
      <c r="Q202" s="78">
        <f t="shared" si="7"/>
        <v>11100000</v>
      </c>
      <c r="R202" s="57" t="s">
        <v>400</v>
      </c>
      <c r="S202" s="82" t="s">
        <v>250</v>
      </c>
      <c r="T202" s="114"/>
      <c r="U202" s="114"/>
    </row>
    <row r="203" spans="1:21" s="115" customFormat="1" ht="48" customHeight="1">
      <c r="A203" s="82"/>
      <c r="B203" s="110"/>
      <c r="C203" s="57"/>
      <c r="D203" s="131"/>
      <c r="E203" s="132"/>
      <c r="F203" s="112" t="s">
        <v>547</v>
      </c>
      <c r="G203" s="94" t="s">
        <v>263</v>
      </c>
      <c r="H203" s="95">
        <v>500</v>
      </c>
      <c r="I203" s="96" t="s">
        <v>26</v>
      </c>
      <c r="J203" s="119" t="s">
        <v>254</v>
      </c>
      <c r="K203" s="77">
        <f>340000*H203*2.1</f>
        <v>357000000</v>
      </c>
      <c r="L203" s="77"/>
      <c r="M203" s="77"/>
      <c r="N203" s="77"/>
      <c r="O203" s="77"/>
      <c r="P203" s="77"/>
      <c r="Q203" s="78">
        <f t="shared" si="7"/>
        <v>357000000</v>
      </c>
      <c r="R203" s="57" t="s">
        <v>400</v>
      </c>
      <c r="S203" s="82" t="s">
        <v>250</v>
      </c>
      <c r="T203" s="114"/>
      <c r="U203" s="114"/>
    </row>
    <row r="204" spans="1:21" s="115" customFormat="1" ht="48" customHeight="1">
      <c r="A204" s="82"/>
      <c r="B204" s="110"/>
      <c r="C204" s="57"/>
      <c r="D204" s="131"/>
      <c r="E204" s="132"/>
      <c r="F204" s="112" t="s">
        <v>548</v>
      </c>
      <c r="G204" s="94" t="s">
        <v>549</v>
      </c>
      <c r="H204" s="95">
        <v>3</v>
      </c>
      <c r="I204" s="96" t="s">
        <v>41</v>
      </c>
      <c r="J204" s="119" t="s">
        <v>254</v>
      </c>
      <c r="K204" s="77">
        <f>17000000*H204</f>
        <v>51000000</v>
      </c>
      <c r="L204" s="77"/>
      <c r="M204" s="77"/>
      <c r="N204" s="77"/>
      <c r="O204" s="77"/>
      <c r="P204" s="77"/>
      <c r="Q204" s="78">
        <f t="shared" si="7"/>
        <v>51000000</v>
      </c>
      <c r="R204" s="57" t="s">
        <v>400</v>
      </c>
      <c r="S204" s="82" t="s">
        <v>250</v>
      </c>
      <c r="T204" s="114"/>
      <c r="U204" s="114"/>
    </row>
    <row r="205" spans="1:21" s="115" customFormat="1" ht="48" customHeight="1">
      <c r="A205" s="82"/>
      <c r="B205" s="110"/>
      <c r="C205" s="57"/>
      <c r="D205" s="131"/>
      <c r="E205" s="132"/>
      <c r="F205" s="112" t="s">
        <v>550</v>
      </c>
      <c r="G205" s="94" t="s">
        <v>551</v>
      </c>
      <c r="H205" s="95">
        <v>800</v>
      </c>
      <c r="I205" s="96" t="s">
        <v>26</v>
      </c>
      <c r="J205" s="119" t="s">
        <v>254</v>
      </c>
      <c r="K205" s="77">
        <f>340000*H205*2.4</f>
        <v>652800000</v>
      </c>
      <c r="L205" s="77"/>
      <c r="M205" s="77"/>
      <c r="N205" s="77"/>
      <c r="O205" s="77"/>
      <c r="P205" s="77"/>
      <c r="Q205" s="78">
        <f t="shared" si="7"/>
        <v>652800000</v>
      </c>
      <c r="R205" s="57" t="s">
        <v>400</v>
      </c>
      <c r="S205" s="82" t="s">
        <v>250</v>
      </c>
      <c r="T205" s="114"/>
      <c r="U205" s="114"/>
    </row>
    <row r="206" spans="1:21" s="115" customFormat="1" ht="48" customHeight="1">
      <c r="A206" s="82"/>
      <c r="B206" s="110"/>
      <c r="C206" s="57"/>
      <c r="D206" s="131"/>
      <c r="E206" s="132"/>
      <c r="F206" s="112" t="str">
        <f>F201</f>
        <v>Pembangunan Gorong-Gorong</v>
      </c>
      <c r="G206" s="94" t="s">
        <v>284</v>
      </c>
      <c r="H206" s="95">
        <v>2</v>
      </c>
      <c r="I206" s="96" t="s">
        <v>41</v>
      </c>
      <c r="J206" s="119" t="s">
        <v>254</v>
      </c>
      <c r="K206" s="77"/>
      <c r="L206" s="77"/>
      <c r="M206" s="77">
        <f>H206*17000000</f>
        <v>34000000</v>
      </c>
      <c r="N206" s="77"/>
      <c r="O206" s="77"/>
      <c r="P206" s="77"/>
      <c r="Q206" s="78">
        <f t="shared" si="7"/>
        <v>34000000</v>
      </c>
      <c r="R206" s="57" t="s">
        <v>400</v>
      </c>
      <c r="S206" s="82" t="s">
        <v>250</v>
      </c>
      <c r="T206" s="114"/>
      <c r="U206" s="114"/>
    </row>
    <row r="207" spans="1:21" s="115" customFormat="1" ht="48" customHeight="1">
      <c r="A207" s="82"/>
      <c r="B207" s="110"/>
      <c r="C207" s="57"/>
      <c r="D207" s="131"/>
      <c r="E207" s="132"/>
      <c r="F207" s="112" t="str">
        <f>F204</f>
        <v>Pembangunan Gorong-gorong</v>
      </c>
      <c r="G207" s="94" t="s">
        <v>552</v>
      </c>
      <c r="H207" s="95">
        <v>3</v>
      </c>
      <c r="I207" s="96" t="s">
        <v>553</v>
      </c>
      <c r="J207" s="119" t="s">
        <v>254</v>
      </c>
      <c r="K207" s="77">
        <f>17000000*H207</f>
        <v>51000000</v>
      </c>
      <c r="L207" s="77"/>
      <c r="M207" s="77"/>
      <c r="N207" s="77"/>
      <c r="O207" s="77"/>
      <c r="P207" s="77"/>
      <c r="Q207" s="78">
        <f t="shared" si="7"/>
        <v>51000000</v>
      </c>
      <c r="R207" s="57" t="s">
        <v>400</v>
      </c>
      <c r="S207" s="82" t="s">
        <v>250</v>
      </c>
      <c r="T207" s="114"/>
      <c r="U207" s="114"/>
    </row>
    <row r="208" spans="1:21" s="115" customFormat="1" ht="48" customHeight="1">
      <c r="A208" s="82"/>
      <c r="B208" s="110"/>
      <c r="C208" s="57"/>
      <c r="D208" s="131"/>
      <c r="E208" s="132"/>
      <c r="F208" s="112" t="str">
        <f>F202</f>
        <v>Pembangunan Drainase</v>
      </c>
      <c r="G208" s="94" t="s">
        <v>554</v>
      </c>
      <c r="H208" s="95">
        <v>200</v>
      </c>
      <c r="I208" s="96" t="s">
        <v>26</v>
      </c>
      <c r="J208" s="119" t="s">
        <v>254</v>
      </c>
      <c r="K208" s="77"/>
      <c r="L208" s="77"/>
      <c r="M208" s="77">
        <f>H208*370000</f>
        <v>74000000</v>
      </c>
      <c r="N208" s="77">
        <f>M208</f>
        <v>74000000</v>
      </c>
      <c r="O208" s="77">
        <f>N208</f>
        <v>74000000</v>
      </c>
      <c r="P208" s="77">
        <f>O208</f>
        <v>74000000</v>
      </c>
      <c r="Q208" s="78">
        <f t="shared" si="7"/>
        <v>296000000</v>
      </c>
      <c r="R208" s="57" t="s">
        <v>400</v>
      </c>
      <c r="S208" s="82" t="s">
        <v>250</v>
      </c>
      <c r="T208" s="114"/>
      <c r="U208" s="114"/>
    </row>
    <row r="209" spans="1:21" s="115" customFormat="1" ht="48" customHeight="1">
      <c r="A209" s="82"/>
      <c r="B209" s="110"/>
      <c r="C209" s="57"/>
      <c r="D209" s="131"/>
      <c r="E209" s="132"/>
      <c r="F209" s="112" t="s">
        <v>555</v>
      </c>
      <c r="G209" s="94" t="s">
        <v>556</v>
      </c>
      <c r="H209" s="95">
        <v>100</v>
      </c>
      <c r="I209" s="96" t="s">
        <v>26</v>
      </c>
      <c r="J209" s="119" t="s">
        <v>254</v>
      </c>
      <c r="K209" s="77">
        <f>H209*340000*2.4</f>
        <v>81600000</v>
      </c>
      <c r="L209" s="77"/>
      <c r="M209" s="77"/>
      <c r="N209" s="77"/>
      <c r="O209" s="77"/>
      <c r="P209" s="77"/>
      <c r="Q209" s="78">
        <f t="shared" si="7"/>
        <v>81600000</v>
      </c>
      <c r="R209" s="57" t="s">
        <v>400</v>
      </c>
      <c r="S209" s="82" t="s">
        <v>250</v>
      </c>
      <c r="T209" s="114"/>
      <c r="U209" s="114"/>
    </row>
    <row r="210" spans="1:21" s="115" customFormat="1" ht="48" customHeight="1">
      <c r="A210" s="82"/>
      <c r="B210" s="110"/>
      <c r="C210" s="57"/>
      <c r="D210" s="131"/>
      <c r="E210" s="132"/>
      <c r="F210" s="112" t="s">
        <v>544</v>
      </c>
      <c r="G210" s="94" t="s">
        <v>557</v>
      </c>
      <c r="H210" s="95">
        <v>2</v>
      </c>
      <c r="I210" s="96" t="s">
        <v>41</v>
      </c>
      <c r="J210" s="119" t="s">
        <v>254</v>
      </c>
      <c r="K210" s="77">
        <f>17000000*H210</f>
        <v>34000000</v>
      </c>
      <c r="L210" s="77"/>
      <c r="M210" s="77"/>
      <c r="N210" s="77"/>
      <c r="O210" s="77"/>
      <c r="P210" s="77"/>
      <c r="Q210" s="78">
        <f t="shared" si="7"/>
        <v>34000000</v>
      </c>
      <c r="R210" s="57" t="s">
        <v>21</v>
      </c>
      <c r="S210" s="82" t="s">
        <v>250</v>
      </c>
      <c r="T210" s="114"/>
      <c r="U210" s="114"/>
    </row>
    <row r="211" spans="1:21" s="115" customFormat="1" ht="48" customHeight="1">
      <c r="A211" s="82"/>
      <c r="B211" s="110"/>
      <c r="C211" s="57"/>
      <c r="D211" s="131"/>
      <c r="E211" s="132"/>
      <c r="F211" s="112" t="s">
        <v>555</v>
      </c>
      <c r="G211" s="94" t="s">
        <v>558</v>
      </c>
      <c r="H211" s="95">
        <v>1500</v>
      </c>
      <c r="I211" s="96" t="s">
        <v>26</v>
      </c>
      <c r="J211" s="119" t="s">
        <v>254</v>
      </c>
      <c r="K211" s="77"/>
      <c r="L211" s="77"/>
      <c r="M211" s="77">
        <f>H211*1.7*340000</f>
        <v>867000000</v>
      </c>
      <c r="N211" s="77"/>
      <c r="O211" s="77"/>
      <c r="P211" s="77"/>
      <c r="Q211" s="78">
        <f t="shared" si="7"/>
        <v>867000000</v>
      </c>
      <c r="R211" s="57" t="s">
        <v>400</v>
      </c>
      <c r="S211" s="82" t="s">
        <v>250</v>
      </c>
      <c r="T211" s="114"/>
      <c r="U211" s="114"/>
    </row>
    <row r="212" spans="1:21" s="115" customFormat="1" ht="48" customHeight="1">
      <c r="A212" s="82"/>
      <c r="B212" s="110"/>
      <c r="C212" s="57"/>
      <c r="D212" s="131"/>
      <c r="E212" s="132"/>
      <c r="F212" s="112" t="str">
        <f>F304</f>
        <v>Pembangunan Talud</v>
      </c>
      <c r="G212" s="94" t="s">
        <v>559</v>
      </c>
      <c r="H212" s="95">
        <v>250</v>
      </c>
      <c r="I212" s="96" t="s">
        <v>26</v>
      </c>
      <c r="J212" s="119" t="s">
        <v>254</v>
      </c>
      <c r="K212" s="77">
        <f>340000*H212*1.45</f>
        <v>123250000</v>
      </c>
      <c r="L212" s="77"/>
      <c r="M212" s="77"/>
      <c r="N212" s="77"/>
      <c r="O212" s="77"/>
      <c r="P212" s="77"/>
      <c r="Q212" s="78">
        <f t="shared" si="7"/>
        <v>123250000</v>
      </c>
      <c r="R212" s="57" t="s">
        <v>400</v>
      </c>
      <c r="S212" s="82" t="s">
        <v>250</v>
      </c>
      <c r="T212" s="114"/>
      <c r="U212" s="114"/>
    </row>
    <row r="213" spans="1:21" s="115" customFormat="1" ht="48" customHeight="1">
      <c r="A213" s="82"/>
      <c r="B213" s="110"/>
      <c r="C213" s="57"/>
      <c r="D213" s="131"/>
      <c r="E213" s="132"/>
      <c r="F213" s="112" t="s">
        <v>560</v>
      </c>
      <c r="G213" s="94" t="s">
        <v>561</v>
      </c>
      <c r="H213" s="95">
        <v>3</v>
      </c>
      <c r="I213" s="96" t="s">
        <v>41</v>
      </c>
      <c r="J213" s="119" t="s">
        <v>254</v>
      </c>
      <c r="K213" s="77"/>
      <c r="L213" s="77">
        <f>H213*17000000</f>
        <v>51000000</v>
      </c>
      <c r="M213" s="77"/>
      <c r="N213" s="77"/>
      <c r="O213" s="77"/>
      <c r="P213" s="77"/>
      <c r="Q213" s="78">
        <f t="shared" si="7"/>
        <v>51000000</v>
      </c>
      <c r="R213" s="57" t="s">
        <v>400</v>
      </c>
      <c r="S213" s="82" t="s">
        <v>250</v>
      </c>
      <c r="T213" s="114"/>
      <c r="U213" s="114"/>
    </row>
    <row r="214" spans="1:21" s="115" customFormat="1" ht="48" customHeight="1">
      <c r="A214" s="82"/>
      <c r="B214" s="110"/>
      <c r="C214" s="57"/>
      <c r="D214" s="131"/>
      <c r="E214" s="132"/>
      <c r="F214" s="112" t="s">
        <v>544</v>
      </c>
      <c r="G214" s="94" t="s">
        <v>524</v>
      </c>
      <c r="H214" s="95">
        <v>2</v>
      </c>
      <c r="I214" s="96" t="s">
        <v>41</v>
      </c>
      <c r="J214" s="119" t="s">
        <v>254</v>
      </c>
      <c r="K214" s="77"/>
      <c r="L214" s="77"/>
      <c r="M214" s="77"/>
      <c r="N214" s="77">
        <f>H214*17000000</f>
        <v>34000000</v>
      </c>
      <c r="O214" s="77"/>
      <c r="P214" s="77"/>
      <c r="Q214" s="78">
        <f t="shared" si="7"/>
        <v>34000000</v>
      </c>
      <c r="R214" s="57" t="s">
        <v>21</v>
      </c>
      <c r="S214" s="82" t="s">
        <v>250</v>
      </c>
      <c r="T214" s="114"/>
      <c r="U214" s="114"/>
    </row>
    <row r="215" spans="1:21" s="115" customFormat="1" ht="48" customHeight="1">
      <c r="A215" s="82"/>
      <c r="B215" s="110"/>
      <c r="C215" s="57"/>
      <c r="D215" s="131"/>
      <c r="E215" s="132"/>
      <c r="F215" s="112" t="s">
        <v>545</v>
      </c>
      <c r="G215" s="94" t="s">
        <v>524</v>
      </c>
      <c r="H215" s="95">
        <v>50</v>
      </c>
      <c r="I215" s="96" t="s">
        <v>26</v>
      </c>
      <c r="J215" s="119" t="s">
        <v>254</v>
      </c>
      <c r="K215" s="77">
        <f>H215*370000</f>
        <v>18500000</v>
      </c>
      <c r="L215" s="77"/>
      <c r="M215" s="77"/>
      <c r="N215" s="77"/>
      <c r="O215" s="77"/>
      <c r="P215" s="77"/>
      <c r="Q215" s="78">
        <f t="shared" si="7"/>
        <v>18500000</v>
      </c>
      <c r="R215" s="57" t="s">
        <v>21</v>
      </c>
      <c r="S215" s="82" t="s">
        <v>250</v>
      </c>
      <c r="T215" s="114"/>
      <c r="U215" s="114"/>
    </row>
    <row r="216" spans="1:21" s="115" customFormat="1" ht="48" customHeight="1">
      <c r="A216" s="82"/>
      <c r="B216" s="110"/>
      <c r="C216" s="57"/>
      <c r="D216" s="131"/>
      <c r="E216" s="132"/>
      <c r="F216" s="112" t="s">
        <v>555</v>
      </c>
      <c r="G216" s="94" t="s">
        <v>562</v>
      </c>
      <c r="H216" s="95">
        <v>150</v>
      </c>
      <c r="I216" s="96" t="s">
        <v>26</v>
      </c>
      <c r="J216" s="119" t="s">
        <v>254</v>
      </c>
      <c r="K216" s="77">
        <f>340000*H216*1.75</f>
        <v>89250000</v>
      </c>
      <c r="L216" s="77"/>
      <c r="M216" s="77"/>
      <c r="N216" s="77"/>
      <c r="O216" s="77"/>
      <c r="P216" s="77"/>
      <c r="Q216" s="78">
        <f t="shared" si="7"/>
        <v>89250000</v>
      </c>
      <c r="R216" s="57" t="s">
        <v>400</v>
      </c>
      <c r="S216" s="82" t="s">
        <v>250</v>
      </c>
      <c r="T216" s="114"/>
      <c r="U216" s="114"/>
    </row>
    <row r="217" spans="1:21" s="115" customFormat="1" ht="48" customHeight="1">
      <c r="A217" s="82"/>
      <c r="B217" s="110"/>
      <c r="C217" s="57"/>
      <c r="D217" s="131"/>
      <c r="E217" s="132"/>
      <c r="F217" s="112" t="s">
        <v>555</v>
      </c>
      <c r="G217" s="86" t="s">
        <v>528</v>
      </c>
      <c r="H217" s="87">
        <v>350</v>
      </c>
      <c r="I217" s="96" t="s">
        <v>26</v>
      </c>
      <c r="J217" s="119" t="s">
        <v>254</v>
      </c>
      <c r="K217" s="77"/>
      <c r="L217" s="77">
        <f>H217*1.6*340000</f>
        <v>190400000</v>
      </c>
      <c r="M217" s="77"/>
      <c r="N217" s="77"/>
      <c r="O217" s="77"/>
      <c r="P217" s="77"/>
      <c r="Q217" s="78">
        <f t="shared" si="7"/>
        <v>190400000</v>
      </c>
      <c r="R217" s="57" t="s">
        <v>400</v>
      </c>
      <c r="S217" s="82" t="s">
        <v>250</v>
      </c>
      <c r="T217" s="114"/>
      <c r="U217" s="114"/>
    </row>
    <row r="218" spans="1:21" s="115" customFormat="1" ht="48" customHeight="1">
      <c r="A218" s="82"/>
      <c r="B218" s="110"/>
      <c r="C218" s="57"/>
      <c r="D218" s="131"/>
      <c r="E218" s="132"/>
      <c r="F218" s="112" t="s">
        <v>555</v>
      </c>
      <c r="G218" s="94" t="s">
        <v>563</v>
      </c>
      <c r="H218" s="95">
        <v>200</v>
      </c>
      <c r="I218" s="96" t="s">
        <v>26</v>
      </c>
      <c r="J218" s="119" t="s">
        <v>254</v>
      </c>
      <c r="K218" s="77">
        <f>H218*1.8*340000</f>
        <v>122400000</v>
      </c>
      <c r="L218" s="77"/>
      <c r="M218" s="77"/>
      <c r="N218" s="77"/>
      <c r="O218" s="77"/>
      <c r="P218" s="77"/>
      <c r="Q218" s="78">
        <f t="shared" si="7"/>
        <v>122400000</v>
      </c>
      <c r="R218" s="57" t="s">
        <v>21</v>
      </c>
      <c r="S218" s="82" t="s">
        <v>250</v>
      </c>
      <c r="T218" s="114"/>
      <c r="U218" s="114"/>
    </row>
    <row r="219" spans="1:21" s="115" customFormat="1" ht="48" customHeight="1">
      <c r="A219" s="82"/>
      <c r="B219" s="110"/>
      <c r="C219" s="57"/>
      <c r="D219" s="131"/>
      <c r="E219" s="132"/>
      <c r="F219" s="112" t="s">
        <v>555</v>
      </c>
      <c r="G219" s="94" t="s">
        <v>564</v>
      </c>
      <c r="H219" s="95">
        <v>500</v>
      </c>
      <c r="I219" s="96" t="s">
        <v>26</v>
      </c>
      <c r="J219" s="119" t="s">
        <v>254</v>
      </c>
      <c r="K219" s="77"/>
      <c r="L219" s="77"/>
      <c r="M219" s="77">
        <f>H219*1.35*340000</f>
        <v>229500000</v>
      </c>
      <c r="N219" s="77"/>
      <c r="O219" s="77"/>
      <c r="P219" s="77"/>
      <c r="Q219" s="78">
        <f t="shared" si="7"/>
        <v>229500000</v>
      </c>
      <c r="R219" s="57" t="s">
        <v>400</v>
      </c>
      <c r="S219" s="82" t="s">
        <v>250</v>
      </c>
      <c r="T219" s="114"/>
      <c r="U219" s="114"/>
    </row>
    <row r="220" spans="1:21" s="115" customFormat="1" ht="48" customHeight="1">
      <c r="A220" s="82"/>
      <c r="B220" s="110"/>
      <c r="C220" s="57"/>
      <c r="D220" s="131"/>
      <c r="E220" s="132"/>
      <c r="F220" s="112" t="s">
        <v>555</v>
      </c>
      <c r="G220" s="94" t="s">
        <v>565</v>
      </c>
      <c r="H220" s="95">
        <v>400</v>
      </c>
      <c r="I220" s="96" t="s">
        <v>26</v>
      </c>
      <c r="J220" s="119" t="s">
        <v>254</v>
      </c>
      <c r="K220" s="77">
        <f>H220*1.86*340000</f>
        <v>252960000</v>
      </c>
      <c r="L220" s="77"/>
      <c r="M220" s="77"/>
      <c r="N220" s="77"/>
      <c r="O220" s="77"/>
      <c r="P220" s="77"/>
      <c r="Q220" s="78">
        <f t="shared" si="7"/>
        <v>252960000</v>
      </c>
      <c r="R220" s="57" t="s">
        <v>400</v>
      </c>
      <c r="S220" s="82" t="s">
        <v>250</v>
      </c>
      <c r="T220" s="114"/>
      <c r="U220" s="114"/>
    </row>
    <row r="221" spans="1:21" s="115" customFormat="1" ht="48" customHeight="1">
      <c r="A221" s="82"/>
      <c r="B221" s="110"/>
      <c r="C221" s="57"/>
      <c r="D221" s="131"/>
      <c r="E221" s="132"/>
      <c r="F221" s="112" t="s">
        <v>555</v>
      </c>
      <c r="G221" s="94" t="s">
        <v>566</v>
      </c>
      <c r="H221" s="95">
        <v>800</v>
      </c>
      <c r="I221" s="96" t="s">
        <v>26</v>
      </c>
      <c r="J221" s="119" t="s">
        <v>254</v>
      </c>
      <c r="K221" s="77"/>
      <c r="L221" s="77"/>
      <c r="M221" s="77"/>
      <c r="N221" s="77">
        <f>H221*2.4*340000</f>
        <v>652800000</v>
      </c>
      <c r="O221" s="77"/>
      <c r="P221" s="77"/>
      <c r="Q221" s="78">
        <f t="shared" si="7"/>
        <v>652800000</v>
      </c>
      <c r="R221" s="57" t="s">
        <v>400</v>
      </c>
      <c r="S221" s="82" t="s">
        <v>250</v>
      </c>
      <c r="T221" s="114"/>
      <c r="U221" s="114"/>
    </row>
    <row r="222" spans="1:21" s="115" customFormat="1" ht="48" customHeight="1">
      <c r="A222" s="82"/>
      <c r="B222" s="110"/>
      <c r="C222" s="57"/>
      <c r="D222" s="131"/>
      <c r="E222" s="132"/>
      <c r="F222" s="112" t="s">
        <v>555</v>
      </c>
      <c r="G222" s="94" t="s">
        <v>534</v>
      </c>
      <c r="H222" s="95">
        <v>200</v>
      </c>
      <c r="I222" s="96" t="s">
        <v>26</v>
      </c>
      <c r="J222" s="119" t="s">
        <v>254</v>
      </c>
      <c r="K222" s="77"/>
      <c r="L222" s="77">
        <v>95200000</v>
      </c>
      <c r="M222" s="77"/>
      <c r="N222" s="77"/>
      <c r="O222" s="77"/>
      <c r="P222" s="77"/>
      <c r="Q222" s="78">
        <f t="shared" si="7"/>
        <v>95200000</v>
      </c>
      <c r="R222" s="57" t="s">
        <v>21</v>
      </c>
      <c r="S222" s="82" t="s">
        <v>250</v>
      </c>
      <c r="T222" s="114"/>
      <c r="U222" s="114"/>
    </row>
    <row r="223" spans="1:21" s="115" customFormat="1" ht="48" customHeight="1">
      <c r="A223" s="82"/>
      <c r="B223" s="110"/>
      <c r="C223" s="57"/>
      <c r="D223" s="131"/>
      <c r="E223" s="132"/>
      <c r="F223" s="112" t="s">
        <v>555</v>
      </c>
      <c r="G223" s="94" t="s">
        <v>273</v>
      </c>
      <c r="H223" s="95">
        <v>500</v>
      </c>
      <c r="I223" s="96" t="s">
        <v>26</v>
      </c>
      <c r="J223" s="119" t="s">
        <v>254</v>
      </c>
      <c r="K223" s="77">
        <f>H223*1.87*340000</f>
        <v>317900000</v>
      </c>
      <c r="L223" s="77"/>
      <c r="M223" s="77"/>
      <c r="N223" s="77"/>
      <c r="O223" s="77"/>
      <c r="P223" s="77"/>
      <c r="Q223" s="78">
        <f t="shared" si="7"/>
        <v>317900000</v>
      </c>
      <c r="R223" s="57" t="s">
        <v>400</v>
      </c>
      <c r="S223" s="82" t="s">
        <v>250</v>
      </c>
      <c r="T223" s="114"/>
      <c r="U223" s="114"/>
    </row>
    <row r="224" spans="1:21" s="115" customFormat="1" ht="48" customHeight="1">
      <c r="A224" s="82"/>
      <c r="B224" s="110"/>
      <c r="C224" s="57"/>
      <c r="D224" s="131"/>
      <c r="E224" s="132"/>
      <c r="F224" s="112" t="s">
        <v>555</v>
      </c>
      <c r="G224" s="94" t="s">
        <v>567</v>
      </c>
      <c r="H224" s="95">
        <v>200</v>
      </c>
      <c r="I224" s="96" t="s">
        <v>26</v>
      </c>
      <c r="J224" s="119" t="s">
        <v>254</v>
      </c>
      <c r="K224" s="77">
        <f>H224*2*340000</f>
        <v>136000000</v>
      </c>
      <c r="L224" s="77"/>
      <c r="M224" s="77"/>
      <c r="N224" s="77"/>
      <c r="O224" s="77"/>
      <c r="P224" s="77"/>
      <c r="Q224" s="78">
        <f t="shared" si="7"/>
        <v>136000000</v>
      </c>
      <c r="R224" s="57" t="s">
        <v>400</v>
      </c>
      <c r="S224" s="82" t="s">
        <v>250</v>
      </c>
      <c r="T224" s="114"/>
      <c r="U224" s="114"/>
    </row>
    <row r="225" spans="1:21" s="115" customFormat="1" ht="48" customHeight="1">
      <c r="A225" s="82"/>
      <c r="B225" s="110"/>
      <c r="C225" s="57"/>
      <c r="D225" s="131"/>
      <c r="E225" s="132"/>
      <c r="F225" s="112" t="s">
        <v>544</v>
      </c>
      <c r="G225" s="94" t="s">
        <v>272</v>
      </c>
      <c r="H225" s="95">
        <v>2</v>
      </c>
      <c r="I225" s="96" t="s">
        <v>41</v>
      </c>
      <c r="J225" s="119" t="s">
        <v>254</v>
      </c>
      <c r="K225" s="77"/>
      <c r="L225" s="77"/>
      <c r="M225" s="77">
        <f>H225*17000000</f>
        <v>34000000</v>
      </c>
      <c r="N225" s="77"/>
      <c r="O225" s="77"/>
      <c r="P225" s="77"/>
      <c r="Q225" s="78">
        <f t="shared" si="7"/>
        <v>34000000</v>
      </c>
      <c r="R225" s="57" t="s">
        <v>21</v>
      </c>
      <c r="S225" s="82" t="s">
        <v>250</v>
      </c>
      <c r="T225" s="114"/>
      <c r="U225" s="114"/>
    </row>
    <row r="226" spans="1:21" s="115" customFormat="1" ht="48" customHeight="1">
      <c r="A226" s="82"/>
      <c r="B226" s="110"/>
      <c r="C226" s="57"/>
      <c r="D226" s="131"/>
      <c r="E226" s="132"/>
      <c r="F226" s="112" t="s">
        <v>545</v>
      </c>
      <c r="G226" s="94" t="s">
        <v>534</v>
      </c>
      <c r="H226" s="95">
        <v>300</v>
      </c>
      <c r="I226" s="96" t="s">
        <v>26</v>
      </c>
      <c r="J226" s="119" t="s">
        <v>254</v>
      </c>
      <c r="K226" s="77">
        <f>H226*370000</f>
        <v>111000000</v>
      </c>
      <c r="L226" s="77"/>
      <c r="M226" s="77"/>
      <c r="N226" s="77"/>
      <c r="O226" s="77"/>
      <c r="P226" s="77"/>
      <c r="Q226" s="78">
        <f t="shared" si="7"/>
        <v>111000000</v>
      </c>
      <c r="R226" s="57" t="s">
        <v>21</v>
      </c>
      <c r="S226" s="82" t="s">
        <v>250</v>
      </c>
      <c r="T226" s="114"/>
      <c r="U226" s="114"/>
    </row>
    <row r="227" spans="1:21" s="115" customFormat="1" ht="48" customHeight="1">
      <c r="A227" s="82"/>
      <c r="B227" s="110"/>
      <c r="C227" s="57"/>
      <c r="D227" s="131"/>
      <c r="E227" s="132"/>
      <c r="F227" s="112" t="s">
        <v>555</v>
      </c>
      <c r="G227" s="94" t="s">
        <v>568</v>
      </c>
      <c r="H227" s="95">
        <v>850</v>
      </c>
      <c r="I227" s="96" t="s">
        <v>26</v>
      </c>
      <c r="J227" s="119" t="s">
        <v>254</v>
      </c>
      <c r="K227" s="77">
        <f>H227*1.3*340000</f>
        <v>375700000</v>
      </c>
      <c r="L227" s="77"/>
      <c r="M227" s="77"/>
      <c r="N227" s="77"/>
      <c r="O227" s="77"/>
      <c r="P227" s="77"/>
      <c r="Q227" s="78">
        <f t="shared" si="7"/>
        <v>375700000</v>
      </c>
      <c r="R227" s="57" t="s">
        <v>400</v>
      </c>
      <c r="S227" s="82" t="s">
        <v>250</v>
      </c>
      <c r="T227" s="114"/>
      <c r="U227" s="114"/>
    </row>
    <row r="228" spans="1:21" s="115" customFormat="1" ht="48" customHeight="1">
      <c r="A228" s="82"/>
      <c r="B228" s="110"/>
      <c r="C228" s="57"/>
      <c r="D228" s="131"/>
      <c r="E228" s="132"/>
      <c r="F228" s="112" t="s">
        <v>555</v>
      </c>
      <c r="G228" s="94" t="s">
        <v>569</v>
      </c>
      <c r="H228" s="95">
        <v>490</v>
      </c>
      <c r="I228" s="96" t="s">
        <v>26</v>
      </c>
      <c r="J228" s="119" t="s">
        <v>254</v>
      </c>
      <c r="K228" s="77"/>
      <c r="L228" s="77">
        <f>H228*2.3*340000</f>
        <v>383180000</v>
      </c>
      <c r="M228" s="77"/>
      <c r="N228" s="77"/>
      <c r="O228" s="77"/>
      <c r="P228" s="77"/>
      <c r="Q228" s="78">
        <f t="shared" si="7"/>
        <v>383180000</v>
      </c>
      <c r="R228" s="57" t="s">
        <v>400</v>
      </c>
      <c r="S228" s="82" t="s">
        <v>250</v>
      </c>
      <c r="T228" s="114"/>
      <c r="U228" s="114"/>
    </row>
    <row r="229" spans="1:21" s="115" customFormat="1" ht="48" customHeight="1">
      <c r="A229" s="82"/>
      <c r="B229" s="110"/>
      <c r="C229" s="57"/>
      <c r="D229" s="131"/>
      <c r="E229" s="132"/>
      <c r="F229" s="112" t="s">
        <v>555</v>
      </c>
      <c r="G229" s="94" t="s">
        <v>567</v>
      </c>
      <c r="H229" s="95">
        <v>200</v>
      </c>
      <c r="I229" s="96" t="s">
        <v>26</v>
      </c>
      <c r="J229" s="119" t="s">
        <v>254</v>
      </c>
      <c r="K229" s="77"/>
      <c r="L229" s="77"/>
      <c r="M229" s="77">
        <f>H229*2*340000</f>
        <v>136000000</v>
      </c>
      <c r="N229" s="77"/>
      <c r="O229" s="77"/>
      <c r="P229" s="77"/>
      <c r="Q229" s="78">
        <f t="shared" si="7"/>
        <v>136000000</v>
      </c>
      <c r="R229" s="57" t="s">
        <v>400</v>
      </c>
      <c r="S229" s="82" t="s">
        <v>250</v>
      </c>
      <c r="T229" s="114"/>
      <c r="U229" s="114"/>
    </row>
    <row r="230" spans="1:21" s="115" customFormat="1" ht="48" customHeight="1">
      <c r="A230" s="82"/>
      <c r="B230" s="110"/>
      <c r="C230" s="57"/>
      <c r="D230" s="131"/>
      <c r="E230" s="132"/>
      <c r="F230" s="112" t="s">
        <v>570</v>
      </c>
      <c r="G230" s="94" t="s">
        <v>571</v>
      </c>
      <c r="H230" s="95">
        <v>200</v>
      </c>
      <c r="I230" s="96" t="s">
        <v>26</v>
      </c>
      <c r="J230" s="119" t="s">
        <v>254</v>
      </c>
      <c r="K230" s="77"/>
      <c r="L230" s="77"/>
      <c r="M230" s="77"/>
      <c r="N230" s="77">
        <f>H230*370000</f>
        <v>74000000</v>
      </c>
      <c r="O230" s="77"/>
      <c r="P230" s="77"/>
      <c r="Q230" s="78">
        <f t="shared" si="7"/>
        <v>74000000</v>
      </c>
      <c r="R230" s="57" t="s">
        <v>21</v>
      </c>
      <c r="S230" s="82" t="s">
        <v>250</v>
      </c>
      <c r="T230" s="114"/>
      <c r="U230" s="114"/>
    </row>
    <row r="231" spans="1:21" s="115" customFormat="1" ht="48" customHeight="1">
      <c r="A231" s="82"/>
      <c r="B231" s="110"/>
      <c r="C231" s="57"/>
      <c r="D231" s="131"/>
      <c r="E231" s="132"/>
      <c r="F231" s="112" t="s">
        <v>555</v>
      </c>
      <c r="G231" s="94" t="s">
        <v>538</v>
      </c>
      <c r="H231" s="95">
        <v>200</v>
      </c>
      <c r="I231" s="96" t="s">
        <v>26</v>
      </c>
      <c r="J231" s="119" t="s">
        <v>254</v>
      </c>
      <c r="K231" s="77">
        <f>H231*1.9*340000</f>
        <v>129200000</v>
      </c>
      <c r="L231" s="77"/>
      <c r="M231" s="77"/>
      <c r="N231" s="77"/>
      <c r="O231" s="77"/>
      <c r="P231" s="77"/>
      <c r="Q231" s="78">
        <f t="shared" si="7"/>
        <v>129200000</v>
      </c>
      <c r="R231" s="57" t="s">
        <v>400</v>
      </c>
      <c r="S231" s="82" t="s">
        <v>250</v>
      </c>
      <c r="T231" s="114"/>
      <c r="U231" s="114"/>
    </row>
    <row r="232" spans="1:21" s="115" customFormat="1" ht="48" customHeight="1">
      <c r="A232" s="82"/>
      <c r="B232" s="110"/>
      <c r="C232" s="57"/>
      <c r="D232" s="131"/>
      <c r="E232" s="132"/>
      <c r="F232" s="112" t="s">
        <v>555</v>
      </c>
      <c r="G232" s="94" t="s">
        <v>572</v>
      </c>
      <c r="H232" s="95">
        <v>300</v>
      </c>
      <c r="I232" s="96" t="s">
        <v>26</v>
      </c>
      <c r="J232" s="119" t="s">
        <v>254</v>
      </c>
      <c r="K232" s="77"/>
      <c r="L232" s="77">
        <f>H232*2.1*340000</f>
        <v>214200000</v>
      </c>
      <c r="M232" s="77"/>
      <c r="N232" s="77"/>
      <c r="O232" s="77"/>
      <c r="P232" s="77"/>
      <c r="Q232" s="78">
        <f t="shared" si="7"/>
        <v>214200000</v>
      </c>
      <c r="R232" s="57" t="s">
        <v>400</v>
      </c>
      <c r="S232" s="82" t="s">
        <v>250</v>
      </c>
      <c r="T232" s="114"/>
      <c r="U232" s="114"/>
    </row>
    <row r="233" spans="1:21" s="115" customFormat="1" ht="48" customHeight="1">
      <c r="A233" s="82"/>
      <c r="B233" s="110"/>
      <c r="C233" s="57"/>
      <c r="D233" s="131"/>
      <c r="E233" s="132"/>
      <c r="F233" s="112" t="s">
        <v>555</v>
      </c>
      <c r="G233" s="94" t="s">
        <v>539</v>
      </c>
      <c r="H233" s="95">
        <v>300</v>
      </c>
      <c r="I233" s="96" t="s">
        <v>26</v>
      </c>
      <c r="J233" s="119" t="s">
        <v>254</v>
      </c>
      <c r="K233" s="77"/>
      <c r="L233" s="77"/>
      <c r="M233" s="77"/>
      <c r="N233" s="77">
        <f>H233*2.4*340000</f>
        <v>244800000</v>
      </c>
      <c r="O233" s="77"/>
      <c r="P233" s="77"/>
      <c r="Q233" s="78">
        <f t="shared" si="7"/>
        <v>244800000</v>
      </c>
      <c r="R233" s="57" t="s">
        <v>400</v>
      </c>
      <c r="S233" s="82" t="s">
        <v>250</v>
      </c>
      <c r="T233" s="114"/>
      <c r="U233" s="114"/>
    </row>
    <row r="234" spans="1:21" s="115" customFormat="1" ht="48" customHeight="1">
      <c r="A234" s="82"/>
      <c r="B234" s="110"/>
      <c r="C234" s="57"/>
      <c r="D234" s="131"/>
      <c r="E234" s="132"/>
      <c r="F234" s="112" t="s">
        <v>555</v>
      </c>
      <c r="G234" s="94" t="s">
        <v>573</v>
      </c>
      <c r="H234" s="95">
        <v>200</v>
      </c>
      <c r="I234" s="96" t="s">
        <v>26</v>
      </c>
      <c r="J234" s="119" t="s">
        <v>254</v>
      </c>
      <c r="K234" s="77">
        <f>H234*1.95*340000</f>
        <v>132600000</v>
      </c>
      <c r="L234" s="77"/>
      <c r="M234" s="77"/>
      <c r="N234" s="77"/>
      <c r="O234" s="77"/>
      <c r="P234" s="77"/>
      <c r="Q234" s="78">
        <f t="shared" si="7"/>
        <v>132600000</v>
      </c>
      <c r="R234" s="57" t="s">
        <v>400</v>
      </c>
      <c r="S234" s="82" t="s">
        <v>250</v>
      </c>
      <c r="T234" s="114"/>
      <c r="U234" s="114"/>
    </row>
    <row r="235" spans="1:21" s="115" customFormat="1" ht="48" customHeight="1">
      <c r="A235" s="82"/>
      <c r="B235" s="110"/>
      <c r="C235" s="57"/>
      <c r="D235" s="131"/>
      <c r="E235" s="132"/>
      <c r="F235" s="112" t="s">
        <v>555</v>
      </c>
      <c r="G235" s="94" t="s">
        <v>540</v>
      </c>
      <c r="H235" s="95">
        <v>200</v>
      </c>
      <c r="I235" s="96" t="s">
        <v>26</v>
      </c>
      <c r="J235" s="119" t="s">
        <v>254</v>
      </c>
      <c r="K235" s="77">
        <f>+H235*2.3*340000</f>
        <v>156399999.99999997</v>
      </c>
      <c r="L235" s="77"/>
      <c r="M235" s="77"/>
      <c r="N235" s="77"/>
      <c r="O235" s="77"/>
      <c r="P235" s="77"/>
      <c r="Q235" s="78">
        <f t="shared" si="7"/>
        <v>156399999.99999997</v>
      </c>
      <c r="R235" s="57" t="s">
        <v>400</v>
      </c>
      <c r="S235" s="82" t="s">
        <v>250</v>
      </c>
      <c r="T235" s="114"/>
      <c r="U235" s="114"/>
    </row>
    <row r="236" spans="1:21" s="115" customFormat="1" ht="48" customHeight="1">
      <c r="A236" s="82"/>
      <c r="B236" s="110"/>
      <c r="C236" s="57"/>
      <c r="D236" s="131"/>
      <c r="E236" s="132"/>
      <c r="F236" s="112" t="s">
        <v>574</v>
      </c>
      <c r="G236" s="94" t="s">
        <v>268</v>
      </c>
      <c r="H236" s="95">
        <v>650</v>
      </c>
      <c r="I236" s="96" t="s">
        <v>26</v>
      </c>
      <c r="J236" s="119" t="s">
        <v>254</v>
      </c>
      <c r="K236" s="77"/>
      <c r="L236" s="77">
        <f>H236*370000</f>
        <v>240500000</v>
      </c>
      <c r="M236" s="77"/>
      <c r="N236" s="77"/>
      <c r="O236" s="77"/>
      <c r="P236" s="77"/>
      <c r="Q236" s="78">
        <f t="shared" si="7"/>
        <v>240500000</v>
      </c>
      <c r="R236" s="57" t="s">
        <v>400</v>
      </c>
      <c r="S236" s="82" t="s">
        <v>250</v>
      </c>
      <c r="T236" s="114"/>
      <c r="U236" s="114"/>
    </row>
    <row r="237" spans="1:21" s="115" customFormat="1" ht="48" customHeight="1">
      <c r="A237" s="82"/>
      <c r="B237" s="110"/>
      <c r="C237" s="57"/>
      <c r="D237" s="131"/>
      <c r="E237" s="132"/>
      <c r="F237" s="112" t="s">
        <v>544</v>
      </c>
      <c r="G237" s="94" t="s">
        <v>268</v>
      </c>
      <c r="H237" s="95">
        <v>1</v>
      </c>
      <c r="I237" s="96" t="s">
        <v>41</v>
      </c>
      <c r="J237" s="119" t="s">
        <v>254</v>
      </c>
      <c r="K237" s="77">
        <f>H237*17000000</f>
        <v>17000000</v>
      </c>
      <c r="L237" s="77"/>
      <c r="M237" s="77"/>
      <c r="N237" s="77"/>
      <c r="O237" s="77"/>
      <c r="P237" s="77"/>
      <c r="Q237" s="78">
        <f t="shared" si="7"/>
        <v>17000000</v>
      </c>
      <c r="R237" s="57" t="s">
        <v>21</v>
      </c>
      <c r="S237" s="82" t="s">
        <v>250</v>
      </c>
      <c r="T237" s="114"/>
      <c r="U237" s="114"/>
    </row>
    <row r="238" spans="1:21" s="115" customFormat="1" ht="48" customHeight="1">
      <c r="A238" s="82"/>
      <c r="B238" s="110"/>
      <c r="C238" s="57"/>
      <c r="D238" s="131"/>
      <c r="E238" s="132"/>
      <c r="F238" s="133" t="s">
        <v>140</v>
      </c>
      <c r="G238" s="94"/>
      <c r="H238" s="95"/>
      <c r="I238" s="96"/>
      <c r="J238" s="119"/>
      <c r="K238" s="77"/>
      <c r="L238" s="77"/>
      <c r="M238" s="77"/>
      <c r="N238" s="77"/>
      <c r="O238" s="77"/>
      <c r="P238" s="77"/>
      <c r="Q238" s="78">
        <f t="shared" si="7"/>
        <v>0</v>
      </c>
      <c r="R238" s="57"/>
      <c r="S238" s="117"/>
      <c r="T238" s="114"/>
      <c r="U238" s="114"/>
    </row>
    <row r="239" spans="1:21" s="115" customFormat="1" ht="48" customHeight="1">
      <c r="A239" s="82"/>
      <c r="B239" s="110"/>
      <c r="C239" s="57"/>
      <c r="D239" s="131"/>
      <c r="E239" s="132"/>
      <c r="F239" s="118" t="s">
        <v>575</v>
      </c>
      <c r="G239" s="93" t="s">
        <v>576</v>
      </c>
      <c r="H239" s="95">
        <v>1000</v>
      </c>
      <c r="I239" s="96" t="s">
        <v>26</v>
      </c>
      <c r="J239" s="119" t="s">
        <v>254</v>
      </c>
      <c r="K239" s="77"/>
      <c r="L239" s="77">
        <f>H239*3*110000</f>
        <v>330000000</v>
      </c>
      <c r="M239" s="77"/>
      <c r="N239" s="77"/>
      <c r="O239" s="77"/>
      <c r="P239" s="77"/>
      <c r="Q239" s="78">
        <f t="shared" si="7"/>
        <v>330000000</v>
      </c>
      <c r="R239" s="57" t="s">
        <v>577</v>
      </c>
      <c r="S239" s="82" t="s">
        <v>250</v>
      </c>
      <c r="T239" s="114"/>
      <c r="U239" s="114"/>
    </row>
    <row r="240" spans="1:21" s="115" customFormat="1" ht="48" customHeight="1">
      <c r="A240" s="82"/>
      <c r="B240" s="110"/>
      <c r="C240" s="57"/>
      <c r="D240" s="131"/>
      <c r="E240" s="132"/>
      <c r="F240" s="112" t="s">
        <v>578</v>
      </c>
      <c r="G240" s="94" t="s">
        <v>579</v>
      </c>
      <c r="H240" s="95">
        <v>1100</v>
      </c>
      <c r="I240" s="96" t="s">
        <v>26</v>
      </c>
      <c r="J240" s="119" t="s">
        <v>254</v>
      </c>
      <c r="K240" s="77"/>
      <c r="L240" s="77">
        <f>H240*340000</f>
        <v>374000000</v>
      </c>
      <c r="M240" s="77"/>
      <c r="N240" s="77"/>
      <c r="O240" s="77"/>
      <c r="P240" s="77"/>
      <c r="Q240" s="78">
        <f t="shared" si="7"/>
        <v>374000000</v>
      </c>
      <c r="R240" s="57" t="s">
        <v>400</v>
      </c>
      <c r="S240" s="82" t="s">
        <v>250</v>
      </c>
      <c r="T240" s="114"/>
      <c r="U240" s="114"/>
    </row>
    <row r="241" spans="1:21" s="115" customFormat="1" ht="48" customHeight="1">
      <c r="A241" s="82"/>
      <c r="B241" s="110"/>
      <c r="C241" s="57"/>
      <c r="D241" s="131"/>
      <c r="E241" s="132"/>
      <c r="F241" s="112" t="s">
        <v>580</v>
      </c>
      <c r="G241" s="94" t="s">
        <v>581</v>
      </c>
      <c r="H241" s="95">
        <v>1000</v>
      </c>
      <c r="I241" s="96" t="s">
        <v>26</v>
      </c>
      <c r="J241" s="119" t="s">
        <v>254</v>
      </c>
      <c r="K241" s="77"/>
      <c r="L241" s="77">
        <v>816000000</v>
      </c>
      <c r="M241" s="77">
        <f t="shared" ref="M241:P241" si="11">L241</f>
        <v>816000000</v>
      </c>
      <c r="N241" s="77">
        <f t="shared" si="11"/>
        <v>816000000</v>
      </c>
      <c r="O241" s="77">
        <f t="shared" si="11"/>
        <v>816000000</v>
      </c>
      <c r="P241" s="77">
        <f t="shared" si="11"/>
        <v>816000000</v>
      </c>
      <c r="Q241" s="78">
        <f t="shared" si="7"/>
        <v>4080000000</v>
      </c>
      <c r="R241" s="57" t="s">
        <v>397</v>
      </c>
      <c r="S241" s="82" t="s">
        <v>250</v>
      </c>
      <c r="T241" s="114"/>
      <c r="U241" s="114"/>
    </row>
    <row r="242" spans="1:21" s="115" customFormat="1" ht="48" customHeight="1">
      <c r="A242" s="82"/>
      <c r="B242" s="110"/>
      <c r="C242" s="57"/>
      <c r="D242" s="131"/>
      <c r="E242" s="132"/>
      <c r="F242" s="112" t="s">
        <v>575</v>
      </c>
      <c r="G242" s="94" t="s">
        <v>582</v>
      </c>
      <c r="H242" s="95">
        <v>1000</v>
      </c>
      <c r="I242" s="96" t="s">
        <v>26</v>
      </c>
      <c r="J242" s="119" t="s">
        <v>254</v>
      </c>
      <c r="K242" s="77"/>
      <c r="L242" s="77">
        <v>440000000</v>
      </c>
      <c r="M242" s="77"/>
      <c r="N242" s="77"/>
      <c r="O242" s="77"/>
      <c r="P242" s="77"/>
      <c r="Q242" s="78">
        <f t="shared" si="7"/>
        <v>440000000</v>
      </c>
      <c r="R242" s="57" t="s">
        <v>21</v>
      </c>
      <c r="S242" s="82" t="s">
        <v>250</v>
      </c>
      <c r="T242" s="114"/>
      <c r="U242" s="114"/>
    </row>
    <row r="243" spans="1:21" s="115" customFormat="1" ht="48" customHeight="1">
      <c r="A243" s="82"/>
      <c r="B243" s="110"/>
      <c r="C243" s="57"/>
      <c r="D243" s="131"/>
      <c r="E243" s="132"/>
      <c r="F243" s="112" t="str">
        <f>F241</f>
        <v>Pembangunan Talud Jalan desa</v>
      </c>
      <c r="G243" s="94" t="s">
        <v>583</v>
      </c>
      <c r="H243" s="95">
        <v>450</v>
      </c>
      <c r="I243" s="96" t="s">
        <v>26</v>
      </c>
      <c r="J243" s="119" t="s">
        <v>254</v>
      </c>
      <c r="K243" s="77"/>
      <c r="L243" s="77"/>
      <c r="M243" s="77">
        <v>336600000.00000006</v>
      </c>
      <c r="N243" s="77"/>
      <c r="O243" s="77"/>
      <c r="P243" s="77"/>
      <c r="Q243" s="78">
        <f t="shared" si="7"/>
        <v>336600000.00000006</v>
      </c>
      <c r="R243" s="57" t="s">
        <v>400</v>
      </c>
      <c r="S243" s="82" t="s">
        <v>250</v>
      </c>
      <c r="T243" s="114"/>
      <c r="U243" s="114"/>
    </row>
    <row r="244" spans="1:21" s="115" customFormat="1" ht="48" customHeight="1">
      <c r="A244" s="82"/>
      <c r="B244" s="110"/>
      <c r="C244" s="57"/>
      <c r="D244" s="131"/>
      <c r="E244" s="132"/>
      <c r="F244" s="133" t="s">
        <v>142</v>
      </c>
      <c r="G244" s="94"/>
      <c r="H244" s="95"/>
      <c r="I244" s="96"/>
      <c r="J244" s="119"/>
      <c r="K244" s="77"/>
      <c r="L244" s="77"/>
      <c r="M244" s="77"/>
      <c r="N244" s="77"/>
      <c r="O244" s="77"/>
      <c r="P244" s="77"/>
      <c r="Q244" s="78">
        <f t="shared" ref="Q244:Q305" si="12">SUM(K244:P244)</f>
        <v>0</v>
      </c>
      <c r="R244" s="57"/>
      <c r="S244" s="117"/>
      <c r="T244" s="114"/>
      <c r="U244" s="114"/>
    </row>
    <row r="245" spans="1:21" s="115" customFormat="1" ht="48" customHeight="1">
      <c r="A245" s="82"/>
      <c r="B245" s="110"/>
      <c r="C245" s="57"/>
      <c r="D245" s="131"/>
      <c r="E245" s="132"/>
      <c r="F245" s="112" t="s">
        <v>584</v>
      </c>
      <c r="G245" s="94" t="s">
        <v>283</v>
      </c>
      <c r="H245" s="95">
        <v>1500</v>
      </c>
      <c r="I245" s="96" t="s">
        <v>26</v>
      </c>
      <c r="J245" s="119" t="s">
        <v>254</v>
      </c>
      <c r="K245" s="77">
        <f>H245*5*45500</f>
        <v>341250000</v>
      </c>
      <c r="L245" s="77"/>
      <c r="M245" s="77"/>
      <c r="N245" s="77"/>
      <c r="O245" s="77"/>
      <c r="P245" s="77"/>
      <c r="Q245" s="78">
        <f t="shared" si="12"/>
        <v>341250000</v>
      </c>
      <c r="R245" s="57" t="s">
        <v>21</v>
      </c>
      <c r="S245" s="82" t="s">
        <v>250</v>
      </c>
      <c r="T245" s="114"/>
      <c r="U245" s="114"/>
    </row>
    <row r="246" spans="1:21" s="115" customFormat="1" ht="48" customHeight="1">
      <c r="A246" s="82"/>
      <c r="B246" s="110"/>
      <c r="C246" s="57"/>
      <c r="D246" s="131"/>
      <c r="E246" s="132"/>
      <c r="F246" s="112" t="s">
        <v>585</v>
      </c>
      <c r="G246" s="94" t="s">
        <v>283</v>
      </c>
      <c r="H246" s="95">
        <v>1000</v>
      </c>
      <c r="I246" s="96" t="s">
        <v>26</v>
      </c>
      <c r="J246" s="119" t="s">
        <v>254</v>
      </c>
      <c r="K246" s="77"/>
      <c r="L246" s="77"/>
      <c r="M246" s="77">
        <f>H246*3*370000</f>
        <v>1110000000</v>
      </c>
      <c r="N246" s="77"/>
      <c r="O246" s="77"/>
      <c r="P246" s="77"/>
      <c r="Q246" s="78">
        <f t="shared" si="12"/>
        <v>1110000000</v>
      </c>
      <c r="R246" s="57" t="s">
        <v>400</v>
      </c>
      <c r="S246" s="82" t="s">
        <v>250</v>
      </c>
      <c r="T246" s="114"/>
      <c r="U246" s="114"/>
    </row>
    <row r="247" spans="1:21" s="115" customFormat="1" ht="48" customHeight="1">
      <c r="A247" s="82"/>
      <c r="B247" s="110"/>
      <c r="C247" s="57"/>
      <c r="D247" s="131"/>
      <c r="E247" s="132"/>
      <c r="F247" s="112" t="s">
        <v>586</v>
      </c>
      <c r="G247" s="94" t="s">
        <v>587</v>
      </c>
      <c r="H247" s="95">
        <v>1500</v>
      </c>
      <c r="I247" s="96" t="s">
        <v>26</v>
      </c>
      <c r="J247" s="119" t="s">
        <v>254</v>
      </c>
      <c r="K247" s="77"/>
      <c r="L247" s="77">
        <f>H247*5*45500</f>
        <v>341250000</v>
      </c>
      <c r="M247" s="77"/>
      <c r="N247" s="77"/>
      <c r="O247" s="77"/>
      <c r="P247" s="77"/>
      <c r="Q247" s="78">
        <f t="shared" si="12"/>
        <v>341250000</v>
      </c>
      <c r="R247" s="57" t="s">
        <v>21</v>
      </c>
      <c r="S247" s="82" t="s">
        <v>250</v>
      </c>
      <c r="T247" s="114"/>
      <c r="U247" s="114"/>
    </row>
    <row r="248" spans="1:21" s="115" customFormat="1" ht="48" customHeight="1">
      <c r="A248" s="82"/>
      <c r="B248" s="110"/>
      <c r="C248" s="57"/>
      <c r="D248" s="131"/>
      <c r="E248" s="132"/>
      <c r="F248" s="112" t="s">
        <v>588</v>
      </c>
      <c r="G248" s="94" t="s">
        <v>589</v>
      </c>
      <c r="H248" s="95">
        <v>1500</v>
      </c>
      <c r="I248" s="96" t="s">
        <v>26</v>
      </c>
      <c r="J248" s="119" t="s">
        <v>254</v>
      </c>
      <c r="K248" s="77"/>
      <c r="L248" s="77"/>
      <c r="M248" s="77">
        <f>H248*5*45500</f>
        <v>341250000</v>
      </c>
      <c r="N248" s="77"/>
      <c r="O248" s="77"/>
      <c r="P248" s="77"/>
      <c r="Q248" s="78">
        <f t="shared" si="12"/>
        <v>341250000</v>
      </c>
      <c r="R248" s="57" t="s">
        <v>21</v>
      </c>
      <c r="S248" s="82" t="s">
        <v>250</v>
      </c>
      <c r="T248" s="114"/>
      <c r="U248" s="114"/>
    </row>
    <row r="249" spans="1:21" s="115" customFormat="1" ht="48" customHeight="1">
      <c r="A249" s="82"/>
      <c r="B249" s="110"/>
      <c r="C249" s="57"/>
      <c r="D249" s="131"/>
      <c r="E249" s="132"/>
      <c r="F249" s="112" t="s">
        <v>590</v>
      </c>
      <c r="G249" s="94" t="s">
        <v>591</v>
      </c>
      <c r="H249" s="95">
        <v>2000</v>
      </c>
      <c r="I249" s="96" t="s">
        <v>26</v>
      </c>
      <c r="J249" s="119" t="s">
        <v>254</v>
      </c>
      <c r="K249" s="77"/>
      <c r="L249" s="77"/>
      <c r="M249" s="77"/>
      <c r="N249" s="77">
        <f>H249*5*45500</f>
        <v>455000000</v>
      </c>
      <c r="O249" s="77"/>
      <c r="P249" s="77"/>
      <c r="Q249" s="78">
        <f t="shared" si="12"/>
        <v>455000000</v>
      </c>
      <c r="R249" s="57" t="s">
        <v>21</v>
      </c>
      <c r="S249" s="82" t="s">
        <v>250</v>
      </c>
      <c r="T249" s="114"/>
      <c r="U249" s="114"/>
    </row>
    <row r="250" spans="1:21" s="115" customFormat="1" ht="48" customHeight="1">
      <c r="A250" s="82"/>
      <c r="B250" s="110"/>
      <c r="C250" s="57"/>
      <c r="D250" s="131"/>
      <c r="E250" s="132"/>
      <c r="F250" s="112" t="str">
        <f>F249</f>
        <v>Pembangunan Jalan Usaha tani Wuluh</v>
      </c>
      <c r="G250" s="94" t="s">
        <v>592</v>
      </c>
      <c r="H250" s="95">
        <v>1200</v>
      </c>
      <c r="I250" s="96" t="s">
        <v>26</v>
      </c>
      <c r="J250" s="119" t="s">
        <v>254</v>
      </c>
      <c r="K250" s="77"/>
      <c r="L250" s="77">
        <f>H250*5*45500</f>
        <v>273000000</v>
      </c>
      <c r="M250" s="77"/>
      <c r="N250" s="77"/>
      <c r="O250" s="77"/>
      <c r="P250" s="77"/>
      <c r="Q250" s="78">
        <f t="shared" si="12"/>
        <v>273000000</v>
      </c>
      <c r="R250" s="57" t="s">
        <v>21</v>
      </c>
      <c r="S250" s="82" t="s">
        <v>250</v>
      </c>
      <c r="T250" s="114"/>
      <c r="U250" s="114"/>
    </row>
    <row r="251" spans="1:21" s="115" customFormat="1" ht="48" customHeight="1">
      <c r="A251" s="82"/>
      <c r="B251" s="110"/>
      <c r="C251" s="57"/>
      <c r="D251" s="131"/>
      <c r="E251" s="132"/>
      <c r="F251" s="112" t="s">
        <v>593</v>
      </c>
      <c r="G251" s="94" t="s">
        <v>594</v>
      </c>
      <c r="H251" s="95">
        <v>2000</v>
      </c>
      <c r="I251" s="96" t="s">
        <v>26</v>
      </c>
      <c r="J251" s="119" t="s">
        <v>254</v>
      </c>
      <c r="K251" s="77"/>
      <c r="L251" s="77"/>
      <c r="M251" s="77">
        <f>H251*3*370000</f>
        <v>2220000000</v>
      </c>
      <c r="N251" s="77"/>
      <c r="O251" s="77"/>
      <c r="P251" s="77"/>
      <c r="Q251" s="78">
        <f t="shared" si="12"/>
        <v>2220000000</v>
      </c>
      <c r="R251" s="57" t="s">
        <v>400</v>
      </c>
      <c r="S251" s="82" t="s">
        <v>250</v>
      </c>
      <c r="T251" s="114"/>
      <c r="U251" s="114"/>
    </row>
    <row r="252" spans="1:21" s="115" customFormat="1" ht="48" customHeight="1">
      <c r="A252" s="82"/>
      <c r="B252" s="110"/>
      <c r="C252" s="57"/>
      <c r="D252" s="131"/>
      <c r="E252" s="132"/>
      <c r="F252" s="112" t="s">
        <v>595</v>
      </c>
      <c r="G252" s="94" t="s">
        <v>596</v>
      </c>
      <c r="H252" s="95">
        <v>2000</v>
      </c>
      <c r="I252" s="96" t="s">
        <v>26</v>
      </c>
      <c r="J252" s="119" t="s">
        <v>254</v>
      </c>
      <c r="K252" s="77"/>
      <c r="L252" s="77"/>
      <c r="M252" s="77"/>
      <c r="N252" s="77"/>
      <c r="O252" s="77">
        <f>H252*3*370000</f>
        <v>2220000000</v>
      </c>
      <c r="P252" s="77"/>
      <c r="Q252" s="78">
        <f t="shared" si="12"/>
        <v>2220000000</v>
      </c>
      <c r="R252" s="57" t="s">
        <v>400</v>
      </c>
      <c r="S252" s="82" t="s">
        <v>250</v>
      </c>
      <c r="T252" s="114"/>
      <c r="U252" s="114"/>
    </row>
    <row r="253" spans="1:21" s="115" customFormat="1" ht="48" customHeight="1">
      <c r="A253" s="82"/>
      <c r="B253" s="110"/>
      <c r="C253" s="57"/>
      <c r="D253" s="131"/>
      <c r="E253" s="132"/>
      <c r="F253" s="112" t="s">
        <v>597</v>
      </c>
      <c r="G253" s="94" t="s">
        <v>598</v>
      </c>
      <c r="H253" s="95">
        <v>1000</v>
      </c>
      <c r="I253" s="96" t="s">
        <v>26</v>
      </c>
      <c r="J253" s="119" t="s">
        <v>254</v>
      </c>
      <c r="K253" s="77">
        <f>H253*5*45500</f>
        <v>227500000</v>
      </c>
      <c r="L253" s="77"/>
      <c r="M253" s="77"/>
      <c r="N253" s="77"/>
      <c r="O253" s="77"/>
      <c r="P253" s="77"/>
      <c r="Q253" s="78">
        <f t="shared" si="12"/>
        <v>227500000</v>
      </c>
      <c r="R253" s="57" t="s">
        <v>21</v>
      </c>
      <c r="S253" s="82" t="s">
        <v>250</v>
      </c>
      <c r="T253" s="114"/>
      <c r="U253" s="114"/>
    </row>
    <row r="254" spans="1:21" s="115" customFormat="1" ht="48" customHeight="1">
      <c r="A254" s="82"/>
      <c r="B254" s="110"/>
      <c r="C254" s="57"/>
      <c r="D254" s="131"/>
      <c r="E254" s="132"/>
      <c r="F254" s="112" t="str">
        <f>F246</f>
        <v>Pembangunan Cor Blok Jalan Usaha Tani</v>
      </c>
      <c r="G254" s="94" t="s">
        <v>285</v>
      </c>
      <c r="H254" s="95">
        <v>1500</v>
      </c>
      <c r="I254" s="96" t="s">
        <v>26</v>
      </c>
      <c r="J254" s="119" t="s">
        <v>254</v>
      </c>
      <c r="K254" s="77"/>
      <c r="L254" s="77"/>
      <c r="M254" s="77"/>
      <c r="N254" s="77"/>
      <c r="O254" s="77"/>
      <c r="P254" s="77">
        <f>H254*3*370000</f>
        <v>1665000000</v>
      </c>
      <c r="Q254" s="78">
        <f t="shared" si="12"/>
        <v>1665000000</v>
      </c>
      <c r="R254" s="57" t="s">
        <v>400</v>
      </c>
      <c r="S254" s="82" t="s">
        <v>250</v>
      </c>
      <c r="T254" s="114"/>
      <c r="U254" s="114"/>
    </row>
    <row r="255" spans="1:21" s="115" customFormat="1" ht="48" customHeight="1">
      <c r="A255" s="82"/>
      <c r="B255" s="110"/>
      <c r="C255" s="57"/>
      <c r="D255" s="131"/>
      <c r="E255" s="132"/>
      <c r="F255" s="112" t="s">
        <v>597</v>
      </c>
      <c r="G255" s="94" t="s">
        <v>599</v>
      </c>
      <c r="H255" s="95">
        <v>1050</v>
      </c>
      <c r="I255" s="96" t="s">
        <v>26</v>
      </c>
      <c r="J255" s="119" t="s">
        <v>254</v>
      </c>
      <c r="K255" s="77"/>
      <c r="L255" s="77">
        <f>H255*5*45500</f>
        <v>238875000</v>
      </c>
      <c r="M255" s="77"/>
      <c r="N255" s="77"/>
      <c r="O255" s="77"/>
      <c r="P255" s="77"/>
      <c r="Q255" s="78">
        <f t="shared" si="12"/>
        <v>238875000</v>
      </c>
      <c r="R255" s="57" t="s">
        <v>21</v>
      </c>
      <c r="S255" s="82" t="s">
        <v>250</v>
      </c>
      <c r="T255" s="114"/>
      <c r="U255" s="114"/>
    </row>
    <row r="256" spans="1:21" s="115" customFormat="1" ht="48" customHeight="1">
      <c r="A256" s="82"/>
      <c r="B256" s="110"/>
      <c r="C256" s="57"/>
      <c r="D256" s="131"/>
      <c r="E256" s="132"/>
      <c r="F256" s="112" t="s">
        <v>600</v>
      </c>
      <c r="G256" s="94" t="s">
        <v>601</v>
      </c>
      <c r="H256" s="95">
        <v>1200</v>
      </c>
      <c r="I256" s="96" t="s">
        <v>26</v>
      </c>
      <c r="J256" s="119" t="s">
        <v>254</v>
      </c>
      <c r="K256" s="77"/>
      <c r="L256" s="77"/>
      <c r="M256" s="77"/>
      <c r="N256" s="77">
        <f>H256*3*370000</f>
        <v>1332000000</v>
      </c>
      <c r="O256" s="77"/>
      <c r="P256" s="77"/>
      <c r="Q256" s="78">
        <f t="shared" si="12"/>
        <v>1332000000</v>
      </c>
      <c r="R256" s="57" t="s">
        <v>400</v>
      </c>
      <c r="S256" s="82" t="s">
        <v>250</v>
      </c>
      <c r="T256" s="114"/>
      <c r="U256" s="114"/>
    </row>
    <row r="257" spans="1:21" s="115" customFormat="1" ht="48" customHeight="1">
      <c r="A257" s="82"/>
      <c r="B257" s="110"/>
      <c r="C257" s="57"/>
      <c r="D257" s="131"/>
      <c r="E257" s="132"/>
      <c r="F257" s="112" t="s">
        <v>600</v>
      </c>
      <c r="G257" s="94" t="s">
        <v>602</v>
      </c>
      <c r="H257" s="95">
        <v>1200</v>
      </c>
      <c r="I257" s="96" t="s">
        <v>26</v>
      </c>
      <c r="J257" s="119" t="s">
        <v>254</v>
      </c>
      <c r="K257" s="77"/>
      <c r="L257" s="77"/>
      <c r="M257" s="77"/>
      <c r="N257" s="77"/>
      <c r="O257" s="77"/>
      <c r="P257" s="77">
        <f>H257*3*370000</f>
        <v>1332000000</v>
      </c>
      <c r="Q257" s="78">
        <f t="shared" si="12"/>
        <v>1332000000</v>
      </c>
      <c r="R257" s="57" t="s">
        <v>400</v>
      </c>
      <c r="S257" s="82" t="s">
        <v>250</v>
      </c>
      <c r="T257" s="114"/>
      <c r="U257" s="114"/>
    </row>
    <row r="258" spans="1:21" s="115" customFormat="1" ht="48" customHeight="1">
      <c r="A258" s="82"/>
      <c r="B258" s="110"/>
      <c r="C258" s="57"/>
      <c r="D258" s="131"/>
      <c r="E258" s="132"/>
      <c r="F258" s="112" t="s">
        <v>597</v>
      </c>
      <c r="G258" s="94" t="s">
        <v>603</v>
      </c>
      <c r="H258" s="95">
        <v>1500</v>
      </c>
      <c r="I258" s="96" t="s">
        <v>26</v>
      </c>
      <c r="J258" s="119" t="s">
        <v>254</v>
      </c>
      <c r="K258" s="77"/>
      <c r="L258" s="77"/>
      <c r="M258" s="77">
        <f>H258*5*45500</f>
        <v>341250000</v>
      </c>
      <c r="N258" s="77"/>
      <c r="O258" s="77"/>
      <c r="P258" s="77"/>
      <c r="Q258" s="78">
        <f t="shared" si="12"/>
        <v>341250000</v>
      </c>
      <c r="R258" s="57" t="s">
        <v>21</v>
      </c>
      <c r="S258" s="82" t="s">
        <v>250</v>
      </c>
      <c r="T258" s="114"/>
      <c r="U258" s="114"/>
    </row>
    <row r="259" spans="1:21" s="115" customFormat="1" ht="48" customHeight="1">
      <c r="A259" s="82"/>
      <c r="B259" s="110"/>
      <c r="C259" s="57"/>
      <c r="D259" s="131"/>
      <c r="E259" s="132"/>
      <c r="F259" s="112" t="s">
        <v>604</v>
      </c>
      <c r="G259" s="94" t="s">
        <v>605</v>
      </c>
      <c r="H259" s="95">
        <v>300</v>
      </c>
      <c r="I259" s="96" t="s">
        <v>26</v>
      </c>
      <c r="J259" s="119" t="s">
        <v>254</v>
      </c>
      <c r="K259" s="77"/>
      <c r="L259" s="77">
        <f>H259*300000</f>
        <v>90000000</v>
      </c>
      <c r="M259" s="77"/>
      <c r="N259" s="77"/>
      <c r="O259" s="77"/>
      <c r="P259" s="77"/>
      <c r="Q259" s="78">
        <f t="shared" si="12"/>
        <v>90000000</v>
      </c>
      <c r="R259" s="57" t="s">
        <v>21</v>
      </c>
      <c r="S259" s="82" t="s">
        <v>250</v>
      </c>
      <c r="T259" s="114"/>
      <c r="U259" s="114"/>
    </row>
    <row r="260" spans="1:21" s="115" customFormat="1" ht="48" customHeight="1">
      <c r="A260" s="82"/>
      <c r="B260" s="110"/>
      <c r="C260" s="57"/>
      <c r="D260" s="131"/>
      <c r="E260" s="132"/>
      <c r="F260" s="112" t="s">
        <v>597</v>
      </c>
      <c r="G260" s="94" t="s">
        <v>606</v>
      </c>
      <c r="H260" s="95">
        <v>1300</v>
      </c>
      <c r="I260" s="96" t="s">
        <v>26</v>
      </c>
      <c r="J260" s="119" t="s">
        <v>254</v>
      </c>
      <c r="K260" s="77"/>
      <c r="L260" s="77"/>
      <c r="M260" s="77"/>
      <c r="N260" s="77">
        <f>H260*5*45500</f>
        <v>295750000</v>
      </c>
      <c r="O260" s="77"/>
      <c r="P260" s="77"/>
      <c r="Q260" s="78">
        <f t="shared" si="12"/>
        <v>295750000</v>
      </c>
      <c r="R260" s="57" t="s">
        <v>21</v>
      </c>
      <c r="S260" s="82" t="s">
        <v>250</v>
      </c>
      <c r="T260" s="114"/>
      <c r="U260" s="114"/>
    </row>
    <row r="261" spans="1:21" s="115" customFormat="1" ht="48" customHeight="1">
      <c r="A261" s="82"/>
      <c r="B261" s="110"/>
      <c r="C261" s="57"/>
      <c r="D261" s="131"/>
      <c r="E261" s="132"/>
      <c r="F261" s="112" t="s">
        <v>597</v>
      </c>
      <c r="G261" s="94" t="s">
        <v>607</v>
      </c>
      <c r="H261" s="95">
        <v>1000</v>
      </c>
      <c r="I261" s="96" t="s">
        <v>26</v>
      </c>
      <c r="J261" s="119" t="s">
        <v>254</v>
      </c>
      <c r="K261" s="77"/>
      <c r="L261" s="77"/>
      <c r="M261" s="77"/>
      <c r="N261" s="77"/>
      <c r="O261" s="77">
        <f>H261*5*45500</f>
        <v>227500000</v>
      </c>
      <c r="P261" s="77"/>
      <c r="Q261" s="78">
        <f t="shared" si="12"/>
        <v>227500000</v>
      </c>
      <c r="R261" s="57" t="s">
        <v>21</v>
      </c>
      <c r="S261" s="82" t="s">
        <v>250</v>
      </c>
      <c r="T261" s="114"/>
      <c r="U261" s="114"/>
    </row>
    <row r="262" spans="1:21" s="115" customFormat="1" ht="48" customHeight="1">
      <c r="A262" s="82"/>
      <c r="B262" s="110"/>
      <c r="C262" s="57"/>
      <c r="D262" s="131"/>
      <c r="E262" s="132"/>
      <c r="F262" s="112" t="s">
        <v>608</v>
      </c>
      <c r="G262" s="94" t="s">
        <v>609</v>
      </c>
      <c r="H262" s="95">
        <v>950</v>
      </c>
      <c r="I262" s="96" t="s">
        <v>26</v>
      </c>
      <c r="J262" s="119" t="s">
        <v>254</v>
      </c>
      <c r="K262" s="77">
        <f>H262*45500*6</f>
        <v>259350000</v>
      </c>
      <c r="L262" s="77"/>
      <c r="M262" s="77"/>
      <c r="N262" s="77"/>
      <c r="O262" s="77"/>
      <c r="P262" s="77"/>
      <c r="Q262" s="78">
        <f t="shared" si="12"/>
        <v>259350000</v>
      </c>
      <c r="R262" s="57" t="s">
        <v>21</v>
      </c>
      <c r="S262" s="82" t="s">
        <v>250</v>
      </c>
      <c r="T262" s="114"/>
      <c r="U262" s="114"/>
    </row>
    <row r="263" spans="1:21" s="115" customFormat="1" ht="48" customHeight="1">
      <c r="A263" s="82"/>
      <c r="B263" s="110"/>
      <c r="C263" s="57"/>
      <c r="D263" s="131"/>
      <c r="E263" s="132"/>
      <c r="F263" s="112" t="s">
        <v>610</v>
      </c>
      <c r="G263" s="93" t="s">
        <v>611</v>
      </c>
      <c r="H263" s="95">
        <v>950</v>
      </c>
      <c r="I263" s="96" t="s">
        <v>26</v>
      </c>
      <c r="J263" s="119" t="s">
        <v>254</v>
      </c>
      <c r="K263" s="77">
        <f>H263*370000*3</f>
        <v>1054500000</v>
      </c>
      <c r="L263" s="77"/>
      <c r="M263" s="77"/>
      <c r="N263" s="77"/>
      <c r="O263" s="77"/>
      <c r="P263" s="77"/>
      <c r="Q263" s="78">
        <f t="shared" si="12"/>
        <v>1054500000</v>
      </c>
      <c r="R263" s="57" t="s">
        <v>400</v>
      </c>
      <c r="S263" s="82" t="s">
        <v>250</v>
      </c>
      <c r="T263" s="114"/>
      <c r="U263" s="114"/>
    </row>
    <row r="264" spans="1:21" s="115" customFormat="1" ht="48" customHeight="1">
      <c r="A264" s="82"/>
      <c r="B264" s="110"/>
      <c r="C264" s="57"/>
      <c r="D264" s="131"/>
      <c r="E264" s="132"/>
      <c r="F264" s="112" t="str">
        <f>F263</f>
        <v>Pembangunan CRB Jalan Usaha Tani</v>
      </c>
      <c r="G264" s="93" t="s">
        <v>612</v>
      </c>
      <c r="H264" s="95">
        <v>1600</v>
      </c>
      <c r="I264" s="96" t="s">
        <v>26</v>
      </c>
      <c r="J264" s="119" t="s">
        <v>254</v>
      </c>
      <c r="K264" s="77"/>
      <c r="L264" s="77"/>
      <c r="M264" s="77">
        <f>H264*3*370000</f>
        <v>1776000000</v>
      </c>
      <c r="N264" s="77"/>
      <c r="O264" s="77"/>
      <c r="P264" s="77"/>
      <c r="Q264" s="78">
        <f t="shared" si="12"/>
        <v>1776000000</v>
      </c>
      <c r="R264" s="57" t="s">
        <v>400</v>
      </c>
      <c r="S264" s="82" t="s">
        <v>250</v>
      </c>
      <c r="T264" s="114"/>
      <c r="U264" s="114"/>
    </row>
    <row r="265" spans="1:21" s="115" customFormat="1" ht="48" customHeight="1">
      <c r="A265" s="82"/>
      <c r="B265" s="110"/>
      <c r="C265" s="57"/>
      <c r="D265" s="131"/>
      <c r="E265" s="132"/>
      <c r="F265" s="112" t="s">
        <v>613</v>
      </c>
      <c r="G265" s="93" t="s">
        <v>614</v>
      </c>
      <c r="H265" s="95">
        <v>950</v>
      </c>
      <c r="I265" s="96" t="s">
        <v>26</v>
      </c>
      <c r="J265" s="119" t="s">
        <v>254</v>
      </c>
      <c r="K265" s="77">
        <f>H265*6*45500</f>
        <v>259350000</v>
      </c>
      <c r="L265" s="77"/>
      <c r="M265" s="77"/>
      <c r="N265" s="77"/>
      <c r="O265" s="77"/>
      <c r="P265" s="77"/>
      <c r="Q265" s="78">
        <f t="shared" si="12"/>
        <v>259350000</v>
      </c>
      <c r="R265" s="57" t="s">
        <v>21</v>
      </c>
      <c r="S265" s="82" t="s">
        <v>250</v>
      </c>
      <c r="T265" s="114"/>
      <c r="U265" s="114"/>
    </row>
    <row r="266" spans="1:21" s="115" customFormat="1" ht="48" customHeight="1">
      <c r="A266" s="82"/>
      <c r="B266" s="110"/>
      <c r="C266" s="57"/>
      <c r="D266" s="131"/>
      <c r="E266" s="132"/>
      <c r="F266" s="112" t="s">
        <v>610</v>
      </c>
      <c r="G266" s="93" t="s">
        <v>615</v>
      </c>
      <c r="H266" s="95">
        <v>100</v>
      </c>
      <c r="I266" s="96" t="s">
        <v>26</v>
      </c>
      <c r="J266" s="119" t="s">
        <v>254</v>
      </c>
      <c r="K266" s="77"/>
      <c r="L266" s="77">
        <f>H266*3*370000</f>
        <v>111000000</v>
      </c>
      <c r="M266" s="77"/>
      <c r="N266" s="77"/>
      <c r="O266" s="77"/>
      <c r="P266" s="77"/>
      <c r="Q266" s="78">
        <f t="shared" si="12"/>
        <v>111000000</v>
      </c>
      <c r="R266" s="57" t="s">
        <v>400</v>
      </c>
      <c r="S266" s="82" t="s">
        <v>250</v>
      </c>
      <c r="T266" s="114"/>
      <c r="U266" s="114"/>
    </row>
    <row r="267" spans="1:21" s="115" customFormat="1" ht="48" customHeight="1">
      <c r="A267" s="82"/>
      <c r="B267" s="110"/>
      <c r="C267" s="57"/>
      <c r="D267" s="131"/>
      <c r="E267" s="132"/>
      <c r="F267" s="112" t="s">
        <v>610</v>
      </c>
      <c r="G267" s="93" t="s">
        <v>616</v>
      </c>
      <c r="H267" s="95">
        <v>250</v>
      </c>
      <c r="I267" s="96" t="s">
        <v>26</v>
      </c>
      <c r="J267" s="119" t="s">
        <v>254</v>
      </c>
      <c r="K267" s="77">
        <f>H267*45500*5</f>
        <v>56875000</v>
      </c>
      <c r="L267" s="77"/>
      <c r="M267" s="77"/>
      <c r="N267" s="77"/>
      <c r="O267" s="77"/>
      <c r="P267" s="77"/>
      <c r="Q267" s="78">
        <f t="shared" si="12"/>
        <v>56875000</v>
      </c>
      <c r="R267" s="57" t="s">
        <v>21</v>
      </c>
      <c r="S267" s="82" t="s">
        <v>250</v>
      </c>
      <c r="T267" s="114"/>
      <c r="U267" s="114"/>
    </row>
    <row r="268" spans="1:21" s="115" customFormat="1" ht="48" customHeight="1">
      <c r="A268" s="82"/>
      <c r="B268" s="110"/>
      <c r="C268" s="57"/>
      <c r="D268" s="131"/>
      <c r="E268" s="132"/>
      <c r="F268" s="112" t="s">
        <v>617</v>
      </c>
      <c r="G268" s="93" t="s">
        <v>618</v>
      </c>
      <c r="H268" s="95">
        <v>1000</v>
      </c>
      <c r="I268" s="96" t="s">
        <v>26</v>
      </c>
      <c r="J268" s="119" t="s">
        <v>254</v>
      </c>
      <c r="K268" s="77">
        <f>H268*5*45500</f>
        <v>227500000</v>
      </c>
      <c r="L268" s="77"/>
      <c r="M268" s="77"/>
      <c r="N268" s="77"/>
      <c r="O268" s="77"/>
      <c r="P268" s="77"/>
      <c r="Q268" s="78">
        <f t="shared" si="12"/>
        <v>227500000</v>
      </c>
      <c r="R268" s="57" t="s">
        <v>21</v>
      </c>
      <c r="S268" s="82" t="s">
        <v>250</v>
      </c>
      <c r="T268" s="114"/>
      <c r="U268" s="114"/>
    </row>
    <row r="269" spans="1:21" s="115" customFormat="1" ht="48" customHeight="1">
      <c r="A269" s="82"/>
      <c r="B269" s="110"/>
      <c r="C269" s="57"/>
      <c r="D269" s="131"/>
      <c r="E269" s="132"/>
      <c r="F269" s="112" t="s">
        <v>617</v>
      </c>
      <c r="G269" s="93" t="s">
        <v>619</v>
      </c>
      <c r="H269" s="95">
        <v>1000</v>
      </c>
      <c r="I269" s="96" t="s">
        <v>26</v>
      </c>
      <c r="J269" s="119" t="s">
        <v>254</v>
      </c>
      <c r="K269" s="77"/>
      <c r="L269" s="77"/>
      <c r="M269" s="77"/>
      <c r="N269" s="77">
        <f>H269*45500*5</f>
        <v>227500000</v>
      </c>
      <c r="O269" s="77"/>
      <c r="P269" s="77"/>
      <c r="Q269" s="78">
        <f t="shared" si="12"/>
        <v>227500000</v>
      </c>
      <c r="R269" s="57" t="s">
        <v>21</v>
      </c>
      <c r="S269" s="82" t="s">
        <v>250</v>
      </c>
      <c r="T269" s="114"/>
      <c r="U269" s="114"/>
    </row>
    <row r="270" spans="1:21" s="115" customFormat="1" ht="48" customHeight="1">
      <c r="A270" s="82"/>
      <c r="B270" s="110"/>
      <c r="C270" s="57"/>
      <c r="D270" s="131"/>
      <c r="E270" s="132"/>
      <c r="F270" s="133" t="s">
        <v>139</v>
      </c>
      <c r="G270" s="94"/>
      <c r="H270" s="95"/>
      <c r="I270" s="96"/>
      <c r="J270" s="119"/>
      <c r="K270" s="77"/>
      <c r="L270" s="77"/>
      <c r="M270" s="77"/>
      <c r="N270" s="77"/>
      <c r="O270" s="77"/>
      <c r="P270" s="77"/>
      <c r="Q270" s="78">
        <f t="shared" si="12"/>
        <v>0</v>
      </c>
      <c r="R270" s="57"/>
      <c r="S270" s="117"/>
      <c r="T270" s="114"/>
      <c r="U270" s="114"/>
    </row>
    <row r="271" spans="1:21" s="115" customFormat="1" ht="48" customHeight="1">
      <c r="A271" s="82"/>
      <c r="B271" s="110"/>
      <c r="C271" s="57"/>
      <c r="D271" s="131"/>
      <c r="E271" s="132"/>
      <c r="F271" s="112" t="s">
        <v>620</v>
      </c>
      <c r="G271" s="94" t="s">
        <v>621</v>
      </c>
      <c r="H271" s="95">
        <v>400</v>
      </c>
      <c r="I271" s="96" t="s">
        <v>26</v>
      </c>
      <c r="J271" s="119" t="s">
        <v>254</v>
      </c>
      <c r="K271" s="77">
        <v>15000000</v>
      </c>
      <c r="L271" s="77"/>
      <c r="M271" s="77"/>
      <c r="N271" s="77"/>
      <c r="O271" s="77"/>
      <c r="P271" s="77"/>
      <c r="Q271" s="78">
        <f t="shared" si="12"/>
        <v>15000000</v>
      </c>
      <c r="R271" s="57" t="s">
        <v>400</v>
      </c>
      <c r="S271" s="82" t="s">
        <v>250</v>
      </c>
      <c r="T271" s="114"/>
      <c r="U271" s="114"/>
    </row>
    <row r="272" spans="1:21" s="115" customFormat="1" ht="48" customHeight="1">
      <c r="A272" s="82"/>
      <c r="B272" s="110"/>
      <c r="C272" s="57"/>
      <c r="D272" s="131"/>
      <c r="E272" s="132"/>
      <c r="F272" s="112" t="s">
        <v>622</v>
      </c>
      <c r="G272" s="94" t="s">
        <v>623</v>
      </c>
      <c r="H272" s="95" t="s">
        <v>624</v>
      </c>
      <c r="I272" s="96" t="s">
        <v>26</v>
      </c>
      <c r="J272" s="119" t="s">
        <v>254</v>
      </c>
      <c r="K272" s="77"/>
      <c r="L272" s="77">
        <v>30000000</v>
      </c>
      <c r="M272" s="77"/>
      <c r="N272" s="77"/>
      <c r="O272" s="77"/>
      <c r="P272" s="77"/>
      <c r="Q272" s="78">
        <f t="shared" si="12"/>
        <v>30000000</v>
      </c>
      <c r="R272" s="57" t="s">
        <v>21</v>
      </c>
      <c r="S272" s="82" t="s">
        <v>250</v>
      </c>
      <c r="T272" s="114"/>
      <c r="U272" s="114"/>
    </row>
    <row r="273" spans="1:21" s="115" customFormat="1" ht="48" customHeight="1">
      <c r="A273" s="82"/>
      <c r="B273" s="110"/>
      <c r="C273" s="57"/>
      <c r="D273" s="131"/>
      <c r="E273" s="132"/>
      <c r="F273" s="133" t="s">
        <v>145</v>
      </c>
      <c r="G273" s="94"/>
      <c r="H273" s="95"/>
      <c r="I273" s="96"/>
      <c r="J273" s="119"/>
      <c r="K273" s="77"/>
      <c r="L273" s="77"/>
      <c r="M273" s="77"/>
      <c r="N273" s="77"/>
      <c r="O273" s="77"/>
      <c r="P273" s="77"/>
      <c r="Q273" s="78">
        <f t="shared" si="12"/>
        <v>0</v>
      </c>
      <c r="R273" s="57"/>
      <c r="S273" s="117"/>
      <c r="T273" s="114"/>
      <c r="U273" s="114"/>
    </row>
    <row r="274" spans="1:21" s="115" customFormat="1" ht="48" customHeight="1">
      <c r="A274" s="82"/>
      <c r="B274" s="110"/>
      <c r="C274" s="57"/>
      <c r="D274" s="131"/>
      <c r="E274" s="132"/>
      <c r="F274" s="118" t="s">
        <v>625</v>
      </c>
      <c r="G274" s="94" t="s">
        <v>269</v>
      </c>
      <c r="H274" s="95">
        <v>1</v>
      </c>
      <c r="I274" s="96" t="s">
        <v>385</v>
      </c>
      <c r="J274" s="119" t="s">
        <v>254</v>
      </c>
      <c r="K274" s="77"/>
      <c r="L274" s="77"/>
      <c r="M274" s="77"/>
      <c r="N274" s="77"/>
      <c r="O274" s="77"/>
      <c r="P274" s="77">
        <f>H274*5000000</f>
        <v>5000000</v>
      </c>
      <c r="Q274" s="78">
        <f t="shared" si="12"/>
        <v>5000000</v>
      </c>
      <c r="R274" s="57" t="s">
        <v>21</v>
      </c>
      <c r="S274" s="82" t="s">
        <v>250</v>
      </c>
      <c r="T274" s="114"/>
      <c r="U274" s="114"/>
    </row>
    <row r="275" spans="1:21" s="115" customFormat="1" ht="48" customHeight="1">
      <c r="A275" s="82"/>
      <c r="B275" s="110"/>
      <c r="C275" s="57"/>
      <c r="D275" s="131"/>
      <c r="E275" s="132"/>
      <c r="F275" s="118" t="str">
        <f t="shared" ref="F275:F281" si="13">F274</f>
        <v>Pembangunan Gapura Batas Wilayah</v>
      </c>
      <c r="G275" s="94" t="s">
        <v>275</v>
      </c>
      <c r="H275" s="95">
        <v>1</v>
      </c>
      <c r="I275" s="96" t="s">
        <v>385</v>
      </c>
      <c r="J275" s="119" t="s">
        <v>254</v>
      </c>
      <c r="K275" s="77"/>
      <c r="L275" s="77"/>
      <c r="M275" s="77"/>
      <c r="N275" s="77"/>
      <c r="O275" s="77">
        <v>5000000</v>
      </c>
      <c r="P275" s="77"/>
      <c r="Q275" s="78">
        <f t="shared" si="12"/>
        <v>5000000</v>
      </c>
      <c r="R275" s="57" t="s">
        <v>21</v>
      </c>
      <c r="S275" s="82" t="s">
        <v>250</v>
      </c>
      <c r="T275" s="114"/>
      <c r="U275" s="114"/>
    </row>
    <row r="276" spans="1:21" s="115" customFormat="1" ht="48" customHeight="1">
      <c r="A276" s="82"/>
      <c r="B276" s="110"/>
      <c r="C276" s="57"/>
      <c r="D276" s="131"/>
      <c r="E276" s="132"/>
      <c r="F276" s="118" t="str">
        <f t="shared" si="13"/>
        <v>Pembangunan Gapura Batas Wilayah</v>
      </c>
      <c r="G276" s="94" t="s">
        <v>561</v>
      </c>
      <c r="H276" s="95">
        <v>2</v>
      </c>
      <c r="I276" s="96" t="s">
        <v>385</v>
      </c>
      <c r="J276" s="119" t="s">
        <v>254</v>
      </c>
      <c r="K276" s="77"/>
      <c r="L276" s="77"/>
      <c r="M276" s="77"/>
      <c r="N276" s="77"/>
      <c r="O276" s="77"/>
      <c r="P276" s="77">
        <f>H276*5000000</f>
        <v>10000000</v>
      </c>
      <c r="Q276" s="78">
        <f t="shared" si="12"/>
        <v>10000000</v>
      </c>
      <c r="R276" s="57" t="s">
        <v>21</v>
      </c>
      <c r="S276" s="82" t="s">
        <v>250</v>
      </c>
      <c r="T276" s="114"/>
      <c r="U276" s="114"/>
    </row>
    <row r="277" spans="1:21" s="115" customFormat="1" ht="48" customHeight="1">
      <c r="A277" s="82"/>
      <c r="B277" s="110"/>
      <c r="C277" s="57"/>
      <c r="D277" s="131"/>
      <c r="E277" s="132"/>
      <c r="F277" s="118" t="str">
        <f t="shared" si="13"/>
        <v>Pembangunan Gapura Batas Wilayah</v>
      </c>
      <c r="G277" s="94" t="s">
        <v>271</v>
      </c>
      <c r="H277" s="95">
        <v>2</v>
      </c>
      <c r="I277" s="96" t="s">
        <v>385</v>
      </c>
      <c r="J277" s="119" t="s">
        <v>254</v>
      </c>
      <c r="K277" s="77"/>
      <c r="L277" s="77"/>
      <c r="M277" s="77">
        <f>H277*5000000</f>
        <v>10000000</v>
      </c>
      <c r="N277" s="77"/>
      <c r="O277" s="77"/>
      <c r="P277" s="77"/>
      <c r="Q277" s="78">
        <f t="shared" si="12"/>
        <v>10000000</v>
      </c>
      <c r="R277" s="57" t="s">
        <v>21</v>
      </c>
      <c r="S277" s="82" t="s">
        <v>250</v>
      </c>
      <c r="T277" s="114"/>
      <c r="U277" s="114"/>
    </row>
    <row r="278" spans="1:21" s="115" customFormat="1" ht="48" customHeight="1">
      <c r="A278" s="82"/>
      <c r="B278" s="110"/>
      <c r="C278" s="57"/>
      <c r="D278" s="131"/>
      <c r="E278" s="132"/>
      <c r="F278" s="118" t="str">
        <f t="shared" si="13"/>
        <v>Pembangunan Gapura Batas Wilayah</v>
      </c>
      <c r="G278" s="94" t="s">
        <v>265</v>
      </c>
      <c r="H278" s="95">
        <v>2</v>
      </c>
      <c r="I278" s="96" t="s">
        <v>385</v>
      </c>
      <c r="J278" s="119" t="s">
        <v>254</v>
      </c>
      <c r="K278" s="77"/>
      <c r="L278" s="77"/>
      <c r="M278" s="77"/>
      <c r="N278" s="77"/>
      <c r="O278" s="77">
        <f>H278*5000000</f>
        <v>10000000</v>
      </c>
      <c r="P278" s="77"/>
      <c r="Q278" s="78">
        <f t="shared" si="12"/>
        <v>10000000</v>
      </c>
      <c r="R278" s="57" t="s">
        <v>21</v>
      </c>
      <c r="S278" s="82" t="s">
        <v>250</v>
      </c>
      <c r="T278" s="114"/>
      <c r="U278" s="114"/>
    </row>
    <row r="279" spans="1:21" s="115" customFormat="1" ht="48" customHeight="1">
      <c r="A279" s="82"/>
      <c r="B279" s="110"/>
      <c r="C279" s="57"/>
      <c r="D279" s="131"/>
      <c r="E279" s="132"/>
      <c r="F279" s="118" t="str">
        <f t="shared" si="13"/>
        <v>Pembangunan Gapura Batas Wilayah</v>
      </c>
      <c r="G279" s="94" t="s">
        <v>272</v>
      </c>
      <c r="H279" s="95">
        <v>2</v>
      </c>
      <c r="I279" s="96" t="s">
        <v>385</v>
      </c>
      <c r="J279" s="119" t="s">
        <v>254</v>
      </c>
      <c r="K279" s="77">
        <f t="shared" ref="K279:K283" si="14">5000000*H279</f>
        <v>10000000</v>
      </c>
      <c r="L279" s="77"/>
      <c r="M279" s="77"/>
      <c r="N279" s="77"/>
      <c r="O279" s="77"/>
      <c r="P279" s="77"/>
      <c r="Q279" s="78">
        <f t="shared" si="12"/>
        <v>10000000</v>
      </c>
      <c r="R279" s="57" t="s">
        <v>21</v>
      </c>
      <c r="S279" s="82" t="s">
        <v>250</v>
      </c>
      <c r="T279" s="114"/>
      <c r="U279" s="114"/>
    </row>
    <row r="280" spans="1:21" s="115" customFormat="1" ht="48" customHeight="1">
      <c r="A280" s="82"/>
      <c r="B280" s="110"/>
      <c r="C280" s="57"/>
      <c r="D280" s="131"/>
      <c r="E280" s="132"/>
      <c r="F280" s="118" t="str">
        <f t="shared" si="13"/>
        <v>Pembangunan Gapura Batas Wilayah</v>
      </c>
      <c r="G280" s="94" t="s">
        <v>227</v>
      </c>
      <c r="H280" s="95">
        <v>2</v>
      </c>
      <c r="I280" s="96" t="s">
        <v>385</v>
      </c>
      <c r="J280" s="119" t="s">
        <v>254</v>
      </c>
      <c r="K280" s="77"/>
      <c r="L280" s="77">
        <f>H280*5000000</f>
        <v>10000000</v>
      </c>
      <c r="M280" s="77"/>
      <c r="N280" s="77"/>
      <c r="O280" s="77"/>
      <c r="P280" s="77"/>
      <c r="Q280" s="78">
        <f t="shared" si="12"/>
        <v>10000000</v>
      </c>
      <c r="R280" s="57" t="s">
        <v>21</v>
      </c>
      <c r="S280" s="82" t="s">
        <v>250</v>
      </c>
      <c r="T280" s="114"/>
      <c r="U280" s="114"/>
    </row>
    <row r="281" spans="1:21" s="115" customFormat="1" ht="48" customHeight="1">
      <c r="A281" s="82"/>
      <c r="B281" s="110"/>
      <c r="C281" s="57"/>
      <c r="D281" s="131"/>
      <c r="E281" s="132"/>
      <c r="F281" s="118" t="str">
        <f t="shared" si="13"/>
        <v>Pembangunan Gapura Batas Wilayah</v>
      </c>
      <c r="G281" s="94" t="s">
        <v>267</v>
      </c>
      <c r="H281" s="95">
        <v>2</v>
      </c>
      <c r="I281" s="96" t="s">
        <v>385</v>
      </c>
      <c r="J281" s="119" t="s">
        <v>254</v>
      </c>
      <c r="K281" s="77"/>
      <c r="L281" s="77"/>
      <c r="M281" s="77">
        <f>H281*5000000</f>
        <v>10000000</v>
      </c>
      <c r="N281" s="77"/>
      <c r="O281" s="77"/>
      <c r="P281" s="77"/>
      <c r="Q281" s="78">
        <f t="shared" si="12"/>
        <v>10000000</v>
      </c>
      <c r="R281" s="57" t="s">
        <v>21</v>
      </c>
      <c r="S281" s="82" t="s">
        <v>250</v>
      </c>
      <c r="T281" s="114"/>
      <c r="U281" s="114"/>
    </row>
    <row r="282" spans="1:21" s="115" customFormat="1" ht="48" customHeight="1">
      <c r="A282" s="82"/>
      <c r="B282" s="110"/>
      <c r="C282" s="57"/>
      <c r="D282" s="131"/>
      <c r="E282" s="132"/>
      <c r="F282" s="118" t="s">
        <v>626</v>
      </c>
      <c r="G282" s="94" t="s">
        <v>627</v>
      </c>
      <c r="H282" s="95">
        <v>4</v>
      </c>
      <c r="I282" s="96" t="s">
        <v>385</v>
      </c>
      <c r="J282" s="119" t="s">
        <v>254</v>
      </c>
      <c r="K282" s="77"/>
      <c r="L282" s="77">
        <f>H282*1500000</f>
        <v>6000000</v>
      </c>
      <c r="M282" s="77"/>
      <c r="N282" s="77"/>
      <c r="O282" s="77"/>
      <c r="P282" s="77"/>
      <c r="Q282" s="78">
        <f t="shared" si="12"/>
        <v>6000000</v>
      </c>
      <c r="R282" s="57" t="s">
        <v>21</v>
      </c>
      <c r="S282" s="82" t="s">
        <v>250</v>
      </c>
      <c r="T282" s="114"/>
      <c r="U282" s="114"/>
    </row>
    <row r="283" spans="1:21" s="115" customFormat="1" ht="48" customHeight="1">
      <c r="A283" s="82"/>
      <c r="B283" s="110"/>
      <c r="C283" s="57"/>
      <c r="D283" s="131"/>
      <c r="E283" s="132"/>
      <c r="F283" s="118" t="str">
        <f>F281</f>
        <v>Pembangunan Gapura Batas Wilayah</v>
      </c>
      <c r="G283" s="94" t="s">
        <v>268</v>
      </c>
      <c r="H283" s="95">
        <v>2</v>
      </c>
      <c r="I283" s="96" t="s">
        <v>385</v>
      </c>
      <c r="J283" s="119" t="s">
        <v>254</v>
      </c>
      <c r="K283" s="77">
        <f t="shared" si="14"/>
        <v>10000000</v>
      </c>
      <c r="L283" s="77"/>
      <c r="M283" s="77"/>
      <c r="N283" s="77"/>
      <c r="O283" s="77"/>
      <c r="P283" s="77"/>
      <c r="Q283" s="78">
        <f t="shared" si="12"/>
        <v>10000000</v>
      </c>
      <c r="R283" s="57" t="s">
        <v>21</v>
      </c>
      <c r="S283" s="82" t="s">
        <v>250</v>
      </c>
      <c r="T283" s="114"/>
      <c r="U283" s="114"/>
    </row>
    <row r="284" spans="1:21" s="115" customFormat="1" ht="61.5" customHeight="1">
      <c r="A284" s="82"/>
      <c r="B284" s="110"/>
      <c r="C284" s="57"/>
      <c r="D284" s="131"/>
      <c r="E284" s="132"/>
      <c r="F284" s="133" t="s">
        <v>144</v>
      </c>
      <c r="G284" s="94"/>
      <c r="H284" s="95"/>
      <c r="I284" s="96"/>
      <c r="J284" s="119"/>
      <c r="K284" s="77"/>
      <c r="L284" s="77"/>
      <c r="M284" s="77"/>
      <c r="N284" s="77"/>
      <c r="O284" s="77"/>
      <c r="P284" s="77"/>
      <c r="Q284" s="78">
        <f t="shared" si="12"/>
        <v>0</v>
      </c>
      <c r="R284" s="57"/>
      <c r="S284" s="117"/>
      <c r="T284" s="114"/>
      <c r="U284" s="114"/>
    </row>
    <row r="285" spans="1:21" s="115" customFormat="1" ht="48" customHeight="1">
      <c r="A285" s="82"/>
      <c r="B285" s="110"/>
      <c r="C285" s="57"/>
      <c r="D285" s="131"/>
      <c r="E285" s="132"/>
      <c r="F285" s="118" t="s">
        <v>628</v>
      </c>
      <c r="G285" s="94" t="s">
        <v>284</v>
      </c>
      <c r="H285" s="95">
        <v>1</v>
      </c>
      <c r="I285" s="96" t="s">
        <v>255</v>
      </c>
      <c r="J285" s="119" t="s">
        <v>254</v>
      </c>
      <c r="K285" s="77"/>
      <c r="L285" s="77">
        <f>H285*30000000</f>
        <v>30000000</v>
      </c>
      <c r="M285" s="77"/>
      <c r="N285" s="77"/>
      <c r="O285" s="77"/>
      <c r="P285" s="77"/>
      <c r="Q285" s="78">
        <f t="shared" si="12"/>
        <v>30000000</v>
      </c>
      <c r="R285" s="57" t="s">
        <v>400</v>
      </c>
      <c r="S285" s="82" t="s">
        <v>250</v>
      </c>
      <c r="T285" s="114"/>
      <c r="U285" s="114"/>
    </row>
    <row r="286" spans="1:21" s="115" customFormat="1" ht="48" customHeight="1">
      <c r="A286" s="82"/>
      <c r="B286" s="110"/>
      <c r="C286" s="57"/>
      <c r="D286" s="131"/>
      <c r="E286" s="132"/>
      <c r="F286" s="118" t="s">
        <v>628</v>
      </c>
      <c r="G286" s="94" t="s">
        <v>269</v>
      </c>
      <c r="H286" s="95">
        <v>1</v>
      </c>
      <c r="I286" s="96" t="s">
        <v>255</v>
      </c>
      <c r="J286" s="119" t="s">
        <v>254</v>
      </c>
      <c r="K286" s="77"/>
      <c r="L286" s="77"/>
      <c r="M286" s="77">
        <v>30000000</v>
      </c>
      <c r="N286" s="77"/>
      <c r="O286" s="77"/>
      <c r="P286" s="77"/>
      <c r="Q286" s="78">
        <f t="shared" si="12"/>
        <v>30000000</v>
      </c>
      <c r="R286" s="57" t="s">
        <v>400</v>
      </c>
      <c r="S286" s="82" t="s">
        <v>250</v>
      </c>
      <c r="T286" s="114"/>
      <c r="U286" s="114"/>
    </row>
    <row r="287" spans="1:21" s="115" customFormat="1" ht="48" customHeight="1">
      <c r="A287" s="82"/>
      <c r="B287" s="110"/>
      <c r="C287" s="57"/>
      <c r="D287" s="131"/>
      <c r="E287" s="132"/>
      <c r="F287" s="118" t="s">
        <v>628</v>
      </c>
      <c r="G287" s="94" t="s">
        <v>561</v>
      </c>
      <c r="H287" s="95">
        <v>1</v>
      </c>
      <c r="I287" s="96" t="s">
        <v>255</v>
      </c>
      <c r="J287" s="119" t="s">
        <v>254</v>
      </c>
      <c r="K287" s="77"/>
      <c r="L287" s="77">
        <v>30000000</v>
      </c>
      <c r="M287" s="77"/>
      <c r="N287" s="77"/>
      <c r="O287" s="77"/>
      <c r="P287" s="77"/>
      <c r="Q287" s="78">
        <f t="shared" si="12"/>
        <v>30000000</v>
      </c>
      <c r="R287" s="57" t="s">
        <v>400</v>
      </c>
      <c r="S287" s="82" t="s">
        <v>250</v>
      </c>
      <c r="T287" s="114"/>
      <c r="U287" s="114"/>
    </row>
    <row r="288" spans="1:21" s="115" customFormat="1" ht="48" customHeight="1">
      <c r="A288" s="82"/>
      <c r="B288" s="110"/>
      <c r="C288" s="57"/>
      <c r="D288" s="131"/>
      <c r="E288" s="132"/>
      <c r="F288" s="118" t="s">
        <v>628</v>
      </c>
      <c r="G288" s="94" t="s">
        <v>275</v>
      </c>
      <c r="H288" s="95">
        <v>1</v>
      </c>
      <c r="I288" s="96" t="s">
        <v>255</v>
      </c>
      <c r="J288" s="119" t="s">
        <v>254</v>
      </c>
      <c r="K288" s="77"/>
      <c r="L288" s="77"/>
      <c r="M288" s="77"/>
      <c r="N288" s="77"/>
      <c r="O288" s="77">
        <v>30000000</v>
      </c>
      <c r="P288" s="77"/>
      <c r="Q288" s="78">
        <f t="shared" si="12"/>
        <v>30000000</v>
      </c>
      <c r="R288" s="57" t="s">
        <v>400</v>
      </c>
      <c r="S288" s="82" t="s">
        <v>250</v>
      </c>
      <c r="T288" s="114"/>
      <c r="U288" s="114"/>
    </row>
    <row r="289" spans="1:21" s="115" customFormat="1" ht="48" customHeight="1">
      <c r="A289" s="82"/>
      <c r="B289" s="110"/>
      <c r="C289" s="57"/>
      <c r="D289" s="131"/>
      <c r="E289" s="132"/>
      <c r="F289" s="118" t="s">
        <v>628</v>
      </c>
      <c r="G289" s="94" t="s">
        <v>271</v>
      </c>
      <c r="H289" s="95">
        <v>1</v>
      </c>
      <c r="I289" s="96" t="s">
        <v>255</v>
      </c>
      <c r="J289" s="119" t="s">
        <v>254</v>
      </c>
      <c r="K289" s="77">
        <v>0</v>
      </c>
      <c r="L289" s="77">
        <v>30000000</v>
      </c>
      <c r="M289" s="77"/>
      <c r="N289" s="77"/>
      <c r="O289" s="77"/>
      <c r="P289" s="77"/>
      <c r="Q289" s="78">
        <f t="shared" si="12"/>
        <v>30000000</v>
      </c>
      <c r="R289" s="57" t="s">
        <v>400</v>
      </c>
      <c r="S289" s="82" t="s">
        <v>250</v>
      </c>
      <c r="T289" s="114"/>
      <c r="U289" s="114"/>
    </row>
    <row r="290" spans="1:21" s="115" customFormat="1" ht="48" customHeight="1">
      <c r="A290" s="82"/>
      <c r="B290" s="110"/>
      <c r="C290" s="57"/>
      <c r="D290" s="131"/>
      <c r="E290" s="132"/>
      <c r="F290" s="118" t="s">
        <v>628</v>
      </c>
      <c r="G290" s="94" t="s">
        <v>264</v>
      </c>
      <c r="H290" s="95">
        <v>1</v>
      </c>
      <c r="I290" s="96" t="s">
        <v>255</v>
      </c>
      <c r="J290" s="119" t="s">
        <v>254</v>
      </c>
      <c r="K290" s="77"/>
      <c r="L290" s="77"/>
      <c r="M290" s="77">
        <v>30000000</v>
      </c>
      <c r="N290" s="77"/>
      <c r="O290" s="77"/>
      <c r="P290" s="77"/>
      <c r="Q290" s="78">
        <f t="shared" si="12"/>
        <v>30000000</v>
      </c>
      <c r="R290" s="57" t="s">
        <v>400</v>
      </c>
      <c r="S290" s="82" t="s">
        <v>250</v>
      </c>
      <c r="T290" s="114"/>
      <c r="U290" s="114"/>
    </row>
    <row r="291" spans="1:21" s="115" customFormat="1" ht="48" customHeight="1">
      <c r="A291" s="82"/>
      <c r="B291" s="110"/>
      <c r="C291" s="57"/>
      <c r="D291" s="131"/>
      <c r="E291" s="132"/>
      <c r="F291" s="118" t="s">
        <v>628</v>
      </c>
      <c r="G291" s="94" t="s">
        <v>265</v>
      </c>
      <c r="H291" s="95">
        <v>1</v>
      </c>
      <c r="I291" s="96" t="s">
        <v>255</v>
      </c>
      <c r="J291" s="119" t="s">
        <v>254</v>
      </c>
      <c r="K291" s="77">
        <v>30000000</v>
      </c>
      <c r="L291" s="77"/>
      <c r="M291" s="77"/>
      <c r="N291" s="77"/>
      <c r="O291" s="77"/>
      <c r="P291" s="77"/>
      <c r="Q291" s="78">
        <f t="shared" si="12"/>
        <v>30000000</v>
      </c>
      <c r="R291" s="57" t="s">
        <v>400</v>
      </c>
      <c r="S291" s="82" t="s">
        <v>250</v>
      </c>
      <c r="T291" s="114"/>
      <c r="U291" s="114"/>
    </row>
    <row r="292" spans="1:21" s="115" customFormat="1" ht="48" customHeight="1">
      <c r="A292" s="82"/>
      <c r="B292" s="110"/>
      <c r="C292" s="57"/>
      <c r="D292" s="131"/>
      <c r="E292" s="132"/>
      <c r="F292" s="118" t="s">
        <v>628</v>
      </c>
      <c r="G292" s="94" t="s">
        <v>272</v>
      </c>
      <c r="H292" s="95">
        <v>1</v>
      </c>
      <c r="I292" s="96" t="s">
        <v>255</v>
      </c>
      <c r="J292" s="119" t="s">
        <v>254</v>
      </c>
      <c r="K292" s="77"/>
      <c r="L292" s="77">
        <v>30000000</v>
      </c>
      <c r="M292" s="77"/>
      <c r="N292" s="77"/>
      <c r="O292" s="77"/>
      <c r="P292" s="77"/>
      <c r="Q292" s="78">
        <f t="shared" si="12"/>
        <v>30000000</v>
      </c>
      <c r="R292" s="57" t="s">
        <v>400</v>
      </c>
      <c r="S292" s="82" t="s">
        <v>250</v>
      </c>
      <c r="T292" s="114"/>
      <c r="U292" s="114"/>
    </row>
    <row r="293" spans="1:21" s="115" customFormat="1" ht="48" customHeight="1">
      <c r="A293" s="82"/>
      <c r="B293" s="110"/>
      <c r="C293" s="57"/>
      <c r="D293" s="131"/>
      <c r="E293" s="132"/>
      <c r="F293" s="118" t="s">
        <v>628</v>
      </c>
      <c r="G293" s="94" t="s">
        <v>227</v>
      </c>
      <c r="H293" s="95">
        <v>1</v>
      </c>
      <c r="I293" s="96" t="s">
        <v>255</v>
      </c>
      <c r="J293" s="119" t="s">
        <v>254</v>
      </c>
      <c r="K293" s="77"/>
      <c r="L293" s="77">
        <v>30000000</v>
      </c>
      <c r="M293" s="77"/>
      <c r="N293" s="77"/>
      <c r="O293" s="77"/>
      <c r="P293" s="77"/>
      <c r="Q293" s="78">
        <f t="shared" si="12"/>
        <v>30000000</v>
      </c>
      <c r="R293" s="57" t="s">
        <v>400</v>
      </c>
      <c r="S293" s="82" t="s">
        <v>250</v>
      </c>
      <c r="T293" s="114"/>
      <c r="U293" s="114"/>
    </row>
    <row r="294" spans="1:21" s="115" customFormat="1" ht="48" customHeight="1">
      <c r="A294" s="82"/>
      <c r="B294" s="110"/>
      <c r="C294" s="57"/>
      <c r="D294" s="131"/>
      <c r="E294" s="132"/>
      <c r="F294" s="118" t="str">
        <f>F293</f>
        <v>Pembangunan/Rehabilitasi Balai Dusun</v>
      </c>
      <c r="G294" s="94" t="s">
        <v>629</v>
      </c>
      <c r="H294" s="95">
        <v>1</v>
      </c>
      <c r="I294" s="96" t="s">
        <v>255</v>
      </c>
      <c r="J294" s="119" t="s">
        <v>254</v>
      </c>
      <c r="K294" s="77"/>
      <c r="L294" s="77">
        <v>75000000</v>
      </c>
      <c r="M294" s="77"/>
      <c r="N294" s="77"/>
      <c r="O294" s="77"/>
      <c r="P294" s="77"/>
      <c r="Q294" s="78">
        <f t="shared" si="12"/>
        <v>75000000</v>
      </c>
      <c r="R294" s="57" t="s">
        <v>400</v>
      </c>
      <c r="S294" s="82" t="s">
        <v>250</v>
      </c>
      <c r="T294" s="114"/>
      <c r="U294" s="114"/>
    </row>
    <row r="295" spans="1:21" s="115" customFormat="1" ht="48" customHeight="1">
      <c r="A295" s="82"/>
      <c r="B295" s="110"/>
      <c r="C295" s="57"/>
      <c r="D295" s="131"/>
      <c r="E295" s="132"/>
      <c r="F295" s="118" t="s">
        <v>630</v>
      </c>
      <c r="G295" s="94" t="str">
        <f>G293</f>
        <v>Planjan</v>
      </c>
      <c r="H295" s="95">
        <v>1</v>
      </c>
      <c r="I295" s="96" t="s">
        <v>255</v>
      </c>
      <c r="J295" s="119" t="s">
        <v>631</v>
      </c>
      <c r="K295" s="77"/>
      <c r="L295" s="77">
        <v>100000000</v>
      </c>
      <c r="M295" s="77"/>
      <c r="N295" s="77"/>
      <c r="O295" s="77"/>
      <c r="P295" s="77"/>
      <c r="Q295" s="78">
        <f t="shared" si="12"/>
        <v>100000000</v>
      </c>
      <c r="R295" s="57" t="s">
        <v>397</v>
      </c>
      <c r="S295" s="82" t="s">
        <v>250</v>
      </c>
      <c r="T295" s="114"/>
      <c r="U295" s="114"/>
    </row>
    <row r="296" spans="1:21" s="115" customFormat="1" ht="48" customHeight="1">
      <c r="A296" s="82"/>
      <c r="B296" s="110"/>
      <c r="C296" s="57"/>
      <c r="D296" s="131"/>
      <c r="E296" s="132"/>
      <c r="F296" s="118" t="s">
        <v>628</v>
      </c>
      <c r="G296" s="94" t="s">
        <v>268</v>
      </c>
      <c r="H296" s="95">
        <v>1</v>
      </c>
      <c r="I296" s="96" t="s">
        <v>255</v>
      </c>
      <c r="J296" s="119" t="s">
        <v>254</v>
      </c>
      <c r="K296" s="77"/>
      <c r="L296" s="77"/>
      <c r="M296" s="77"/>
      <c r="N296" s="77">
        <v>30000000</v>
      </c>
      <c r="O296" s="77"/>
      <c r="P296" s="77"/>
      <c r="Q296" s="78">
        <f t="shared" si="12"/>
        <v>30000000</v>
      </c>
      <c r="R296" s="57" t="s">
        <v>400</v>
      </c>
      <c r="S296" s="82" t="s">
        <v>250</v>
      </c>
      <c r="T296" s="114"/>
      <c r="U296" s="114"/>
    </row>
    <row r="297" spans="1:21" s="115" customFormat="1" ht="81.75" customHeight="1">
      <c r="A297" s="82"/>
      <c r="B297" s="110"/>
      <c r="C297" s="57"/>
      <c r="D297" s="131"/>
      <c r="E297" s="132"/>
      <c r="F297" s="134" t="s">
        <v>632</v>
      </c>
      <c r="G297" s="118"/>
      <c r="H297" s="135"/>
      <c r="I297" s="136"/>
      <c r="J297" s="118"/>
      <c r="K297" s="77"/>
      <c r="L297" s="77"/>
      <c r="M297" s="145"/>
      <c r="N297" s="145"/>
      <c r="O297" s="145"/>
      <c r="P297" s="77"/>
      <c r="Q297" s="78">
        <f t="shared" si="12"/>
        <v>0</v>
      </c>
      <c r="R297" s="57"/>
      <c r="S297" s="117"/>
      <c r="T297" s="114"/>
      <c r="U297" s="114"/>
    </row>
    <row r="298" spans="1:21" s="115" customFormat="1" ht="48" customHeight="1">
      <c r="A298" s="82"/>
      <c r="B298" s="110"/>
      <c r="C298" s="57"/>
      <c r="D298" s="131"/>
      <c r="E298" s="132"/>
      <c r="F298" s="118" t="s">
        <v>633</v>
      </c>
      <c r="G298" s="94" t="s">
        <v>227</v>
      </c>
      <c r="H298" s="95">
        <v>1000</v>
      </c>
      <c r="I298" s="96" t="s">
        <v>26</v>
      </c>
      <c r="J298" s="119" t="s">
        <v>254</v>
      </c>
      <c r="K298" s="77">
        <v>5000000</v>
      </c>
      <c r="L298" s="77"/>
      <c r="M298" s="77"/>
      <c r="N298" s="77"/>
      <c r="O298" s="77"/>
      <c r="P298" s="77"/>
      <c r="Q298" s="78">
        <f t="shared" si="12"/>
        <v>5000000</v>
      </c>
      <c r="R298" s="57" t="s">
        <v>400</v>
      </c>
      <c r="S298" s="82" t="s">
        <v>250</v>
      </c>
      <c r="T298" s="114"/>
      <c r="U298" s="114"/>
    </row>
    <row r="299" spans="1:21" s="115" customFormat="1" ht="48" customHeight="1">
      <c r="A299" s="82"/>
      <c r="B299" s="110"/>
      <c r="C299" s="57"/>
      <c r="D299" s="131"/>
      <c r="E299" s="132"/>
      <c r="F299" s="112" t="str">
        <f>F298</f>
        <v>Perluasan Lahan Pemakaman Milik Desa</v>
      </c>
      <c r="G299" s="94" t="s">
        <v>629</v>
      </c>
      <c r="H299" s="95">
        <v>1000</v>
      </c>
      <c r="I299" s="96" t="s">
        <v>26</v>
      </c>
      <c r="J299" s="119" t="s">
        <v>254</v>
      </c>
      <c r="K299" s="77">
        <v>5000000</v>
      </c>
      <c r="L299" s="77"/>
      <c r="M299" s="77"/>
      <c r="N299" s="77"/>
      <c r="O299" s="77"/>
      <c r="P299" s="77"/>
      <c r="Q299" s="78">
        <f t="shared" si="12"/>
        <v>5000000</v>
      </c>
      <c r="R299" s="57" t="s">
        <v>400</v>
      </c>
      <c r="S299" s="82" t="s">
        <v>250</v>
      </c>
      <c r="T299" s="114"/>
      <c r="U299" s="114"/>
    </row>
    <row r="300" spans="1:21" s="115" customFormat="1" ht="48" customHeight="1">
      <c r="A300" s="82"/>
      <c r="B300" s="110"/>
      <c r="C300" s="57"/>
      <c r="D300" s="131"/>
      <c r="E300" s="132"/>
      <c r="F300" s="112" t="s">
        <v>634</v>
      </c>
      <c r="G300" s="94" t="s">
        <v>267</v>
      </c>
      <c r="H300" s="95">
        <v>100</v>
      </c>
      <c r="I300" s="96" t="s">
        <v>26</v>
      </c>
      <c r="J300" s="119" t="s">
        <v>254</v>
      </c>
      <c r="K300" s="77"/>
      <c r="L300" s="77"/>
      <c r="M300" s="77">
        <f>H300*2.1*340000</f>
        <v>71400000</v>
      </c>
      <c r="N300" s="77"/>
      <c r="O300" s="77"/>
      <c r="P300" s="77"/>
      <c r="Q300" s="78">
        <f t="shared" si="12"/>
        <v>71400000</v>
      </c>
      <c r="R300" s="57" t="s">
        <v>400</v>
      </c>
      <c r="S300" s="82" t="s">
        <v>250</v>
      </c>
      <c r="T300" s="114"/>
      <c r="U300" s="114"/>
    </row>
    <row r="301" spans="1:21" s="115" customFormat="1" ht="48" customHeight="1">
      <c r="A301" s="82"/>
      <c r="B301" s="110"/>
      <c r="C301" s="57"/>
      <c r="D301" s="131"/>
      <c r="E301" s="132"/>
      <c r="F301" s="112" t="str">
        <f>F211</f>
        <v>Pembangunan Talud</v>
      </c>
      <c r="G301" s="94" t="s">
        <v>635</v>
      </c>
      <c r="H301" s="95">
        <v>150</v>
      </c>
      <c r="I301" s="96" t="s">
        <v>26</v>
      </c>
      <c r="J301" s="119" t="s">
        <v>254</v>
      </c>
      <c r="K301" s="77">
        <f>K303</f>
        <v>61200000</v>
      </c>
      <c r="L301" s="77"/>
      <c r="M301" s="77"/>
      <c r="N301" s="77"/>
      <c r="O301" s="77"/>
      <c r="P301" s="77"/>
      <c r="Q301" s="78">
        <f t="shared" si="12"/>
        <v>61200000</v>
      </c>
      <c r="R301" s="57" t="s">
        <v>400</v>
      </c>
      <c r="S301" s="82" t="s">
        <v>250</v>
      </c>
      <c r="T301" s="114"/>
      <c r="U301" s="114"/>
    </row>
    <row r="302" spans="1:21" s="115" customFormat="1" ht="48" customHeight="1">
      <c r="A302" s="82"/>
      <c r="B302" s="110"/>
      <c r="C302" s="57"/>
      <c r="D302" s="131"/>
      <c r="E302" s="132"/>
      <c r="F302" s="112" t="s">
        <v>636</v>
      </c>
      <c r="G302" s="94" t="s">
        <v>269</v>
      </c>
      <c r="H302" s="95">
        <v>100</v>
      </c>
      <c r="I302" s="96" t="s">
        <v>26</v>
      </c>
      <c r="J302" s="119" t="s">
        <v>254</v>
      </c>
      <c r="K302" s="77"/>
      <c r="L302" s="77">
        <v>15000000</v>
      </c>
      <c r="M302" s="77"/>
      <c r="N302" s="77"/>
      <c r="O302" s="77"/>
      <c r="P302" s="77"/>
      <c r="Q302" s="78">
        <f t="shared" si="12"/>
        <v>15000000</v>
      </c>
      <c r="R302" s="57" t="s">
        <v>400</v>
      </c>
      <c r="S302" s="82" t="s">
        <v>250</v>
      </c>
      <c r="T302" s="114"/>
      <c r="U302" s="114"/>
    </row>
    <row r="303" spans="1:21" s="115" customFormat="1" ht="48" customHeight="1">
      <c r="A303" s="82"/>
      <c r="B303" s="110"/>
      <c r="C303" s="57"/>
      <c r="D303" s="131"/>
      <c r="E303" s="132"/>
      <c r="F303" s="112" t="str">
        <f>F301</f>
        <v>Pembangunan Talud</v>
      </c>
      <c r="G303" s="94" t="s">
        <v>637</v>
      </c>
      <c r="H303" s="95">
        <v>150</v>
      </c>
      <c r="I303" s="96" t="s">
        <v>26</v>
      </c>
      <c r="J303" s="119" t="s">
        <v>254</v>
      </c>
      <c r="K303" s="77">
        <f>H303*1.2*340000</f>
        <v>61200000</v>
      </c>
      <c r="L303" s="77"/>
      <c r="M303" s="77"/>
      <c r="N303" s="77"/>
      <c r="O303" s="77"/>
      <c r="P303" s="77"/>
      <c r="Q303" s="78">
        <f t="shared" si="12"/>
        <v>61200000</v>
      </c>
      <c r="R303" s="57" t="s">
        <v>400</v>
      </c>
      <c r="S303" s="82" t="s">
        <v>250</v>
      </c>
      <c r="T303" s="114"/>
      <c r="U303" s="114"/>
    </row>
    <row r="304" spans="1:21" s="115" customFormat="1" ht="48" customHeight="1">
      <c r="A304" s="82"/>
      <c r="B304" s="110"/>
      <c r="C304" s="57"/>
      <c r="D304" s="131"/>
      <c r="E304" s="132"/>
      <c r="F304" s="112" t="str">
        <f>F303</f>
        <v>Pembangunan Talud</v>
      </c>
      <c r="G304" s="94" t="s">
        <v>638</v>
      </c>
      <c r="H304" s="95">
        <v>150</v>
      </c>
      <c r="I304" s="96" t="s">
        <v>26</v>
      </c>
      <c r="J304" s="119" t="s">
        <v>254</v>
      </c>
      <c r="K304" s="77"/>
      <c r="L304" s="77"/>
      <c r="M304" s="77">
        <f>H304*1.2*340000</f>
        <v>61200000</v>
      </c>
      <c r="N304" s="77"/>
      <c r="O304" s="77"/>
      <c r="P304" s="77"/>
      <c r="Q304" s="78">
        <f t="shared" si="12"/>
        <v>61200000</v>
      </c>
      <c r="R304" s="57" t="s">
        <v>400</v>
      </c>
      <c r="S304" s="82" t="s">
        <v>250</v>
      </c>
      <c r="T304" s="114"/>
      <c r="U304" s="114"/>
    </row>
    <row r="305" spans="1:21" s="115" customFormat="1" ht="48" customHeight="1">
      <c r="A305" s="82"/>
      <c r="B305" s="110"/>
      <c r="C305" s="57"/>
      <c r="D305" s="131"/>
      <c r="E305" s="132"/>
      <c r="F305" s="112" t="s">
        <v>639</v>
      </c>
      <c r="G305" s="94" t="s">
        <v>640</v>
      </c>
      <c r="H305" s="95">
        <v>80</v>
      </c>
      <c r="I305" s="96" t="s">
        <v>26</v>
      </c>
      <c r="J305" s="119" t="s">
        <v>254</v>
      </c>
      <c r="K305" s="77">
        <f>H305*1.2*340000</f>
        <v>32640000</v>
      </c>
      <c r="L305" s="77"/>
      <c r="M305" s="77"/>
      <c r="N305" s="77"/>
      <c r="O305" s="77"/>
      <c r="P305" s="77"/>
      <c r="Q305" s="78">
        <f t="shared" si="12"/>
        <v>32640000</v>
      </c>
      <c r="R305" s="57" t="s">
        <v>400</v>
      </c>
      <c r="S305" s="82" t="s">
        <v>250</v>
      </c>
      <c r="T305" s="114"/>
      <c r="U305" s="114"/>
    </row>
    <row r="306" spans="1:21" s="115" customFormat="1" ht="48" customHeight="1">
      <c r="A306" s="82"/>
      <c r="B306" s="110"/>
      <c r="C306" s="57"/>
      <c r="D306" s="131"/>
      <c r="E306" s="132"/>
      <c r="F306" s="112" t="s">
        <v>641</v>
      </c>
      <c r="G306" s="94" t="s">
        <v>268</v>
      </c>
      <c r="H306" s="95">
        <v>150</v>
      </c>
      <c r="I306" s="96" t="s">
        <v>26</v>
      </c>
      <c r="J306" s="119" t="s">
        <v>254</v>
      </c>
      <c r="K306" s="77"/>
      <c r="L306" s="77"/>
      <c r="M306" s="77"/>
      <c r="N306" s="77">
        <v>102000000</v>
      </c>
      <c r="O306" s="77"/>
      <c r="P306" s="77"/>
      <c r="Q306" s="78">
        <f t="shared" ref="Q306:Q369" si="15">SUM(K306:P306)</f>
        <v>102000000</v>
      </c>
      <c r="R306" s="57" t="s">
        <v>400</v>
      </c>
      <c r="S306" s="82" t="s">
        <v>250</v>
      </c>
      <c r="T306" s="114"/>
      <c r="U306" s="114"/>
    </row>
    <row r="307" spans="1:21" s="115" customFormat="1" ht="48" customHeight="1">
      <c r="A307" s="82"/>
      <c r="B307" s="110"/>
      <c r="C307" s="57"/>
      <c r="D307" s="131"/>
      <c r="E307" s="132"/>
      <c r="F307" s="133" t="s">
        <v>642</v>
      </c>
      <c r="G307" s="94"/>
      <c r="H307" s="95"/>
      <c r="I307" s="96"/>
      <c r="J307" s="119"/>
      <c r="K307" s="77"/>
      <c r="L307" s="77"/>
      <c r="M307" s="77"/>
      <c r="N307" s="77"/>
      <c r="O307" s="77"/>
      <c r="P307" s="77"/>
      <c r="Q307" s="78">
        <f t="shared" si="15"/>
        <v>0</v>
      </c>
      <c r="R307" s="57"/>
      <c r="S307" s="117"/>
      <c r="T307" s="114"/>
      <c r="U307" s="114"/>
    </row>
    <row r="308" spans="1:21" s="115" customFormat="1" ht="48" customHeight="1">
      <c r="A308" s="82"/>
      <c r="B308" s="110"/>
      <c r="C308" s="57"/>
      <c r="D308" s="131"/>
      <c r="E308" s="132"/>
      <c r="F308" s="112" t="s">
        <v>643</v>
      </c>
      <c r="G308" s="94" t="s">
        <v>361</v>
      </c>
      <c r="H308" s="95">
        <v>1</v>
      </c>
      <c r="I308" s="96" t="s">
        <v>255</v>
      </c>
      <c r="J308" s="119" t="s">
        <v>644</v>
      </c>
      <c r="K308" s="77">
        <v>750000000</v>
      </c>
      <c r="L308" s="77"/>
      <c r="M308" s="77"/>
      <c r="N308" s="77"/>
      <c r="O308" s="77"/>
      <c r="P308" s="77"/>
      <c r="Q308" s="78">
        <f t="shared" si="15"/>
        <v>750000000</v>
      </c>
      <c r="R308" s="57" t="s">
        <v>577</v>
      </c>
      <c r="S308" s="82" t="s">
        <v>250</v>
      </c>
      <c r="T308" s="114"/>
      <c r="U308" s="114"/>
    </row>
    <row r="309" spans="1:21" s="115" customFormat="1" ht="48" customHeight="1">
      <c r="A309" s="82"/>
      <c r="B309" s="110"/>
      <c r="C309" s="57"/>
      <c r="D309" s="131"/>
      <c r="E309" s="132"/>
      <c r="F309" s="133" t="s">
        <v>645</v>
      </c>
      <c r="G309" s="94"/>
      <c r="H309" s="95"/>
      <c r="I309" s="96"/>
      <c r="J309" s="119"/>
      <c r="K309" s="77"/>
      <c r="L309" s="77"/>
      <c r="M309" s="77"/>
      <c r="N309" s="77"/>
      <c r="O309" s="77"/>
      <c r="P309" s="77"/>
      <c r="Q309" s="78">
        <f t="shared" si="15"/>
        <v>0</v>
      </c>
      <c r="R309" s="57"/>
      <c r="S309" s="117"/>
      <c r="T309" s="114"/>
      <c r="U309" s="114"/>
    </row>
    <row r="310" spans="1:21" s="115" customFormat="1" ht="48" customHeight="1">
      <c r="A310" s="82"/>
      <c r="B310" s="110"/>
      <c r="C310" s="57"/>
      <c r="D310" s="131"/>
      <c r="E310" s="132"/>
      <c r="F310" s="112" t="s">
        <v>646</v>
      </c>
      <c r="G310" s="94" t="s">
        <v>277</v>
      </c>
      <c r="H310" s="95">
        <v>2000</v>
      </c>
      <c r="I310" s="96" t="s">
        <v>26</v>
      </c>
      <c r="J310" s="119" t="s">
        <v>254</v>
      </c>
      <c r="K310" s="77">
        <v>176000000</v>
      </c>
      <c r="L310" s="77">
        <v>176000000</v>
      </c>
      <c r="M310" s="77">
        <v>176000000</v>
      </c>
      <c r="N310" s="77">
        <v>176000000</v>
      </c>
      <c r="O310" s="77">
        <v>176000000</v>
      </c>
      <c r="P310" s="77"/>
      <c r="Q310" s="78">
        <f t="shared" si="15"/>
        <v>880000000</v>
      </c>
      <c r="R310" s="57" t="s">
        <v>577</v>
      </c>
      <c r="S310" s="82" t="s">
        <v>250</v>
      </c>
      <c r="T310" s="114"/>
      <c r="U310" s="114"/>
    </row>
    <row r="311" spans="1:21" s="115" customFormat="1" ht="48" customHeight="1">
      <c r="A311" s="82"/>
      <c r="B311" s="110"/>
      <c r="C311" s="57"/>
      <c r="D311" s="131"/>
      <c r="E311" s="132"/>
      <c r="F311" s="112" t="s">
        <v>647</v>
      </c>
      <c r="G311" s="94" t="s">
        <v>648</v>
      </c>
      <c r="H311" s="95">
        <v>4000</v>
      </c>
      <c r="I311" s="96" t="s">
        <v>26</v>
      </c>
      <c r="J311" s="119" t="s">
        <v>254</v>
      </c>
      <c r="K311" s="77"/>
      <c r="L311" s="77"/>
      <c r="M311" s="77">
        <v>125000000</v>
      </c>
      <c r="N311" s="77"/>
      <c r="O311" s="77"/>
      <c r="P311" s="77"/>
      <c r="Q311" s="78">
        <f t="shared" si="15"/>
        <v>125000000</v>
      </c>
      <c r="R311" s="146" t="s">
        <v>577</v>
      </c>
      <c r="S311" s="82" t="s">
        <v>250</v>
      </c>
      <c r="T311" s="114"/>
      <c r="U311" s="114"/>
    </row>
    <row r="312" spans="1:21" s="115" customFormat="1" ht="48" customHeight="1">
      <c r="A312" s="82"/>
      <c r="B312" s="110"/>
      <c r="C312" s="57"/>
      <c r="D312" s="131"/>
      <c r="E312" s="132"/>
      <c r="F312" s="112" t="s">
        <v>649</v>
      </c>
      <c r="G312" s="94" t="s">
        <v>265</v>
      </c>
      <c r="H312" s="95">
        <v>800</v>
      </c>
      <c r="I312" s="96" t="s">
        <v>26</v>
      </c>
      <c r="J312" s="119" t="s">
        <v>254</v>
      </c>
      <c r="K312" s="77"/>
      <c r="L312" s="77">
        <v>174080000</v>
      </c>
      <c r="M312" s="77">
        <v>174080000</v>
      </c>
      <c r="N312" s="77">
        <v>174080000</v>
      </c>
      <c r="O312" s="77">
        <v>174080000</v>
      </c>
      <c r="P312" s="77">
        <v>174080000</v>
      </c>
      <c r="Q312" s="78">
        <f t="shared" si="15"/>
        <v>870400000</v>
      </c>
      <c r="R312" s="146" t="s">
        <v>577</v>
      </c>
      <c r="S312" s="82" t="s">
        <v>250</v>
      </c>
      <c r="T312" s="114"/>
      <c r="U312" s="114"/>
    </row>
    <row r="313" spans="1:21" s="115" customFormat="1" ht="48" customHeight="1">
      <c r="A313" s="82"/>
      <c r="B313" s="110"/>
      <c r="C313" s="57"/>
      <c r="D313" s="131"/>
      <c r="E313" s="132"/>
      <c r="F313" s="112" t="s">
        <v>650</v>
      </c>
      <c r="G313" s="94" t="s">
        <v>651</v>
      </c>
      <c r="H313" s="95">
        <v>550</v>
      </c>
      <c r="I313" s="96" t="s">
        <v>26</v>
      </c>
      <c r="J313" s="119" t="s">
        <v>254</v>
      </c>
      <c r="K313" s="77"/>
      <c r="L313" s="77">
        <v>163625000</v>
      </c>
      <c r="M313" s="77">
        <v>163625000</v>
      </c>
      <c r="N313" s="77">
        <v>163625000</v>
      </c>
      <c r="O313" s="77">
        <v>163625000</v>
      </c>
      <c r="P313" s="77"/>
      <c r="Q313" s="78">
        <f t="shared" si="15"/>
        <v>654500000</v>
      </c>
      <c r="R313" s="146" t="s">
        <v>652</v>
      </c>
      <c r="S313" s="82" t="s">
        <v>250</v>
      </c>
      <c r="T313" s="114"/>
      <c r="U313" s="114"/>
    </row>
    <row r="314" spans="1:21" s="115" customFormat="1" ht="74.25" customHeight="1">
      <c r="A314" s="82"/>
      <c r="B314" s="110"/>
      <c r="C314" s="57"/>
      <c r="D314" s="71"/>
      <c r="E314" s="71"/>
      <c r="F314" s="133" t="s">
        <v>147</v>
      </c>
      <c r="G314" s="147"/>
      <c r="H314" s="148"/>
      <c r="I314" s="149"/>
      <c r="J314" s="119"/>
      <c r="K314" s="77"/>
      <c r="L314" s="77"/>
      <c r="M314" s="77"/>
      <c r="N314" s="77"/>
      <c r="O314" s="77"/>
      <c r="P314" s="77"/>
      <c r="Q314" s="78">
        <f t="shared" si="15"/>
        <v>0</v>
      </c>
      <c r="R314" s="57"/>
      <c r="S314" s="117"/>
      <c r="T314" s="114"/>
      <c r="U314" s="114"/>
    </row>
    <row r="315" spans="1:21" s="115" customFormat="1" ht="44.25" customHeight="1">
      <c r="A315" s="82"/>
      <c r="B315" s="110"/>
      <c r="C315" s="57"/>
      <c r="D315" s="71"/>
      <c r="E315" s="71"/>
      <c r="F315" s="112" t="s">
        <v>653</v>
      </c>
      <c r="G315" s="94" t="s">
        <v>277</v>
      </c>
      <c r="H315" s="121">
        <v>26</v>
      </c>
      <c r="I315" s="96" t="s">
        <v>41</v>
      </c>
      <c r="J315" s="119" t="s">
        <v>254</v>
      </c>
      <c r="K315" s="77"/>
      <c r="L315" s="77">
        <f>13*15000000</f>
        <v>195000000</v>
      </c>
      <c r="M315" s="77"/>
      <c r="N315" s="77">
        <f>13*15000000</f>
        <v>195000000</v>
      </c>
      <c r="O315" s="77"/>
      <c r="P315" s="77"/>
      <c r="Q315" s="78">
        <f t="shared" si="15"/>
        <v>390000000</v>
      </c>
      <c r="R315" s="57" t="s">
        <v>577</v>
      </c>
      <c r="S315" s="82" t="s">
        <v>250</v>
      </c>
      <c r="T315" s="114"/>
      <c r="U315" s="114"/>
    </row>
    <row r="316" spans="1:21" s="115" customFormat="1" ht="44.25" customHeight="1">
      <c r="A316" s="82"/>
      <c r="B316" s="110"/>
      <c r="C316" s="57"/>
      <c r="D316" s="71"/>
      <c r="E316" s="71"/>
      <c r="F316" s="112" t="str">
        <f>F315</f>
        <v>Rehap Rumah Tidak Layak Huni</v>
      </c>
      <c r="G316" s="150" t="s">
        <v>551</v>
      </c>
      <c r="H316" s="121">
        <v>12</v>
      </c>
      <c r="I316" s="96" t="s">
        <v>41</v>
      </c>
      <c r="J316" s="119" t="s">
        <v>254</v>
      </c>
      <c r="K316" s="77"/>
      <c r="L316" s="77">
        <f>6*15000000</f>
        <v>90000000</v>
      </c>
      <c r="M316" s="77"/>
      <c r="N316" s="77">
        <f>6*15000000</f>
        <v>90000000</v>
      </c>
      <c r="O316" s="77"/>
      <c r="P316" s="77"/>
      <c r="Q316" s="78">
        <f t="shared" si="15"/>
        <v>180000000</v>
      </c>
      <c r="R316" s="57" t="s">
        <v>577</v>
      </c>
      <c r="S316" s="82" t="s">
        <v>250</v>
      </c>
      <c r="T316" s="114"/>
      <c r="U316" s="114"/>
    </row>
    <row r="317" spans="1:21" s="115" customFormat="1" ht="44.25" customHeight="1">
      <c r="A317" s="82"/>
      <c r="B317" s="110"/>
      <c r="C317" s="57"/>
      <c r="D317" s="71"/>
      <c r="E317" s="71"/>
      <c r="F317" s="112" t="str">
        <f>F316</f>
        <v>Rehap Rumah Tidak Layak Huni</v>
      </c>
      <c r="G317" s="150" t="s">
        <v>284</v>
      </c>
      <c r="H317" s="121">
        <v>12</v>
      </c>
      <c r="I317" s="96" t="s">
        <v>41</v>
      </c>
      <c r="J317" s="119" t="s">
        <v>254</v>
      </c>
      <c r="K317" s="77"/>
      <c r="L317" s="77">
        <f>6*15000000</f>
        <v>90000000</v>
      </c>
      <c r="M317" s="77"/>
      <c r="N317" s="77">
        <f>6*15000000</f>
        <v>90000000</v>
      </c>
      <c r="O317" s="77"/>
      <c r="P317" s="77"/>
      <c r="Q317" s="78">
        <f t="shared" si="15"/>
        <v>180000000</v>
      </c>
      <c r="R317" s="57" t="s">
        <v>577</v>
      </c>
      <c r="S317" s="82" t="s">
        <v>250</v>
      </c>
      <c r="T317" s="114"/>
      <c r="U317" s="114"/>
    </row>
    <row r="318" spans="1:21" s="115" customFormat="1" ht="44.25" customHeight="1">
      <c r="A318" s="82"/>
      <c r="B318" s="110"/>
      <c r="C318" s="57"/>
      <c r="D318" s="71"/>
      <c r="E318" s="71"/>
      <c r="F318" s="112" t="str">
        <f>F317</f>
        <v>Rehap Rumah Tidak Layak Huni</v>
      </c>
      <c r="G318" s="150" t="s">
        <v>269</v>
      </c>
      <c r="H318" s="121">
        <v>15</v>
      </c>
      <c r="I318" s="96" t="s">
        <v>41</v>
      </c>
      <c r="J318" s="119" t="s">
        <v>254</v>
      </c>
      <c r="K318" s="77"/>
      <c r="L318" s="77">
        <f>8*15000000</f>
        <v>120000000</v>
      </c>
      <c r="M318" s="77"/>
      <c r="N318" s="77">
        <f>7*15000000</f>
        <v>105000000</v>
      </c>
      <c r="O318" s="77"/>
      <c r="P318" s="77"/>
      <c r="Q318" s="78">
        <f t="shared" si="15"/>
        <v>225000000</v>
      </c>
      <c r="R318" s="57" t="s">
        <v>577</v>
      </c>
      <c r="S318" s="82" t="s">
        <v>250</v>
      </c>
      <c r="T318" s="114"/>
      <c r="U318" s="114"/>
    </row>
    <row r="319" spans="1:21" s="115" customFormat="1" ht="44.25" customHeight="1">
      <c r="A319" s="82"/>
      <c r="B319" s="110"/>
      <c r="C319" s="57"/>
      <c r="D319" s="71"/>
      <c r="E319" s="71"/>
      <c r="F319" s="112" t="str">
        <f t="shared" ref="F319:F327" si="16">F318</f>
        <v>Rehap Rumah Tidak Layak Huni</v>
      </c>
      <c r="G319" s="150" t="s">
        <v>275</v>
      </c>
      <c r="H319" s="121">
        <v>30</v>
      </c>
      <c r="I319" s="96" t="s">
        <v>41</v>
      </c>
      <c r="J319" s="119" t="s">
        <v>254</v>
      </c>
      <c r="K319" s="77"/>
      <c r="L319" s="77">
        <f>15*15000000</f>
        <v>225000000</v>
      </c>
      <c r="M319" s="77"/>
      <c r="N319" s="77">
        <f>15*15000000</f>
        <v>225000000</v>
      </c>
      <c r="O319" s="77"/>
      <c r="P319" s="77"/>
      <c r="Q319" s="78">
        <f t="shared" si="15"/>
        <v>450000000</v>
      </c>
      <c r="R319" s="57" t="s">
        <v>577</v>
      </c>
      <c r="S319" s="82" t="s">
        <v>250</v>
      </c>
      <c r="T319" s="114"/>
      <c r="U319" s="114"/>
    </row>
    <row r="320" spans="1:21" s="115" customFormat="1" ht="44.25" customHeight="1">
      <c r="A320" s="82"/>
      <c r="B320" s="110"/>
      <c r="C320" s="57"/>
      <c r="D320" s="71"/>
      <c r="E320" s="71"/>
      <c r="F320" s="112" t="str">
        <f t="shared" si="16"/>
        <v>Rehap Rumah Tidak Layak Huni</v>
      </c>
      <c r="G320" s="150" t="s">
        <v>561</v>
      </c>
      <c r="H320" s="121">
        <v>11</v>
      </c>
      <c r="I320" s="96" t="s">
        <v>41</v>
      </c>
      <c r="J320" s="119" t="s">
        <v>254</v>
      </c>
      <c r="K320" s="77"/>
      <c r="L320" s="77">
        <f>6*15000000</f>
        <v>90000000</v>
      </c>
      <c r="M320" s="77"/>
      <c r="N320" s="77">
        <f>5*15000000</f>
        <v>75000000</v>
      </c>
      <c r="O320" s="77"/>
      <c r="P320" s="77"/>
      <c r="Q320" s="78">
        <f t="shared" si="15"/>
        <v>165000000</v>
      </c>
      <c r="R320" s="57" t="s">
        <v>577</v>
      </c>
      <c r="S320" s="82" t="s">
        <v>250</v>
      </c>
      <c r="T320" s="114"/>
      <c r="U320" s="114"/>
    </row>
    <row r="321" spans="1:21" s="115" customFormat="1" ht="44.25" customHeight="1">
      <c r="A321" s="82"/>
      <c r="B321" s="110"/>
      <c r="C321" s="57"/>
      <c r="D321" s="71"/>
      <c r="E321" s="71"/>
      <c r="F321" s="112" t="s">
        <v>654</v>
      </c>
      <c r="G321" s="150" t="s">
        <v>561</v>
      </c>
      <c r="H321" s="121">
        <v>4</v>
      </c>
      <c r="I321" s="96" t="s">
        <v>41</v>
      </c>
      <c r="J321" s="119" t="s">
        <v>254</v>
      </c>
      <c r="K321" s="77"/>
      <c r="L321" s="77">
        <f>4*15000000</f>
        <v>60000000</v>
      </c>
      <c r="M321" s="77"/>
      <c r="N321" s="77">
        <f>4*15000000</f>
        <v>60000000</v>
      </c>
      <c r="O321" s="77"/>
      <c r="P321" s="77"/>
      <c r="Q321" s="78">
        <f t="shared" si="15"/>
        <v>120000000</v>
      </c>
      <c r="R321" s="57" t="s">
        <v>577</v>
      </c>
      <c r="S321" s="82" t="s">
        <v>250</v>
      </c>
      <c r="T321" s="114"/>
      <c r="U321" s="114"/>
    </row>
    <row r="322" spans="1:21" s="115" customFormat="1" ht="44.25" customHeight="1">
      <c r="A322" s="82"/>
      <c r="B322" s="110"/>
      <c r="C322" s="57"/>
      <c r="D322" s="71"/>
      <c r="E322" s="71"/>
      <c r="F322" s="112" t="str">
        <f>F317</f>
        <v>Rehap Rumah Tidak Layak Huni</v>
      </c>
      <c r="G322" s="150" t="s">
        <v>271</v>
      </c>
      <c r="H322" s="121">
        <v>20</v>
      </c>
      <c r="I322" s="96" t="s">
        <v>41</v>
      </c>
      <c r="J322" s="119" t="s">
        <v>254</v>
      </c>
      <c r="K322" s="77"/>
      <c r="L322" s="77">
        <f>10*15000000</f>
        <v>150000000</v>
      </c>
      <c r="M322" s="77"/>
      <c r="N322" s="77">
        <f>10*15000000</f>
        <v>150000000</v>
      </c>
      <c r="O322" s="77"/>
      <c r="P322" s="77"/>
      <c r="Q322" s="78">
        <f t="shared" si="15"/>
        <v>300000000</v>
      </c>
      <c r="R322" s="57" t="s">
        <v>577</v>
      </c>
      <c r="S322" s="82" t="s">
        <v>250</v>
      </c>
      <c r="T322" s="114"/>
      <c r="U322" s="114"/>
    </row>
    <row r="323" spans="1:21" s="115" customFormat="1" ht="44.25" customHeight="1">
      <c r="A323" s="82"/>
      <c r="B323" s="110"/>
      <c r="C323" s="57"/>
      <c r="D323" s="71"/>
      <c r="E323" s="71"/>
      <c r="F323" s="112" t="str">
        <f t="shared" si="16"/>
        <v>Rehap Rumah Tidak Layak Huni</v>
      </c>
      <c r="G323" s="150" t="s">
        <v>265</v>
      </c>
      <c r="H323" s="121">
        <v>20</v>
      </c>
      <c r="I323" s="96" t="s">
        <v>41</v>
      </c>
      <c r="J323" s="119" t="s">
        <v>254</v>
      </c>
      <c r="K323" s="77"/>
      <c r="L323" s="77">
        <f>10*15000000</f>
        <v>150000000</v>
      </c>
      <c r="M323" s="77"/>
      <c r="N323" s="77">
        <f>10*15000000</f>
        <v>150000000</v>
      </c>
      <c r="O323" s="77"/>
      <c r="P323" s="77"/>
      <c r="Q323" s="78">
        <f t="shared" si="15"/>
        <v>300000000</v>
      </c>
      <c r="R323" s="57" t="s">
        <v>577</v>
      </c>
      <c r="S323" s="82" t="s">
        <v>250</v>
      </c>
      <c r="T323" s="114"/>
      <c r="U323" s="114"/>
    </row>
    <row r="324" spans="1:21" s="115" customFormat="1" ht="44.25" customHeight="1">
      <c r="A324" s="82"/>
      <c r="B324" s="110"/>
      <c r="C324" s="57"/>
      <c r="D324" s="71"/>
      <c r="E324" s="71"/>
      <c r="F324" s="112" t="str">
        <f t="shared" si="16"/>
        <v>Rehap Rumah Tidak Layak Huni</v>
      </c>
      <c r="G324" s="150" t="s">
        <v>272</v>
      </c>
      <c r="H324" s="121">
        <v>15</v>
      </c>
      <c r="I324" s="96" t="s">
        <v>41</v>
      </c>
      <c r="J324" s="119" t="s">
        <v>254</v>
      </c>
      <c r="K324" s="77"/>
      <c r="L324" s="77">
        <f>8*15000000</f>
        <v>120000000</v>
      </c>
      <c r="M324" s="77"/>
      <c r="N324" s="77">
        <f>7*15000000</f>
        <v>105000000</v>
      </c>
      <c r="O324" s="77"/>
      <c r="P324" s="77"/>
      <c r="Q324" s="78">
        <f t="shared" si="15"/>
        <v>225000000</v>
      </c>
      <c r="R324" s="57" t="s">
        <v>577</v>
      </c>
      <c r="S324" s="82" t="s">
        <v>250</v>
      </c>
      <c r="T324" s="114"/>
      <c r="U324" s="114"/>
    </row>
    <row r="325" spans="1:21" s="115" customFormat="1" ht="44.25" customHeight="1">
      <c r="A325" s="82"/>
      <c r="B325" s="110"/>
      <c r="C325" s="57"/>
      <c r="D325" s="71"/>
      <c r="E325" s="71"/>
      <c r="F325" s="112" t="str">
        <f t="shared" si="16"/>
        <v>Rehap Rumah Tidak Layak Huni</v>
      </c>
      <c r="G325" s="150" t="s">
        <v>227</v>
      </c>
      <c r="H325" s="121">
        <v>8</v>
      </c>
      <c r="I325" s="96" t="s">
        <v>41</v>
      </c>
      <c r="J325" s="119" t="s">
        <v>254</v>
      </c>
      <c r="K325" s="77"/>
      <c r="L325" s="77">
        <f>4*15000000</f>
        <v>60000000</v>
      </c>
      <c r="M325" s="77"/>
      <c r="N325" s="77">
        <f>4*15000000</f>
        <v>60000000</v>
      </c>
      <c r="O325" s="77"/>
      <c r="P325" s="77"/>
      <c r="Q325" s="78">
        <f t="shared" si="15"/>
        <v>120000000</v>
      </c>
      <c r="R325" s="57" t="s">
        <v>577</v>
      </c>
      <c r="S325" s="82" t="s">
        <v>250</v>
      </c>
      <c r="T325" s="114"/>
      <c r="U325" s="114"/>
    </row>
    <row r="326" spans="1:21" s="115" customFormat="1" ht="44.25" customHeight="1">
      <c r="A326" s="82"/>
      <c r="B326" s="110"/>
      <c r="C326" s="57"/>
      <c r="D326" s="71"/>
      <c r="E326" s="71"/>
      <c r="F326" s="112" t="str">
        <f t="shared" si="16"/>
        <v>Rehap Rumah Tidak Layak Huni</v>
      </c>
      <c r="G326" s="150" t="s">
        <v>267</v>
      </c>
      <c r="H326" s="121">
        <v>10</v>
      </c>
      <c r="I326" s="96" t="s">
        <v>41</v>
      </c>
      <c r="J326" s="119" t="s">
        <v>254</v>
      </c>
      <c r="K326" s="77"/>
      <c r="L326" s="77">
        <f>5*15000000</f>
        <v>75000000</v>
      </c>
      <c r="M326" s="77"/>
      <c r="N326" s="77">
        <f>5*15000000</f>
        <v>75000000</v>
      </c>
      <c r="O326" s="77"/>
      <c r="P326" s="77"/>
      <c r="Q326" s="78">
        <f t="shared" si="15"/>
        <v>150000000</v>
      </c>
      <c r="R326" s="57" t="s">
        <v>577</v>
      </c>
      <c r="S326" s="82" t="s">
        <v>250</v>
      </c>
      <c r="T326" s="114"/>
      <c r="U326" s="114"/>
    </row>
    <row r="327" spans="1:21" s="115" customFormat="1" ht="44.25" customHeight="1">
      <c r="A327" s="82"/>
      <c r="B327" s="110"/>
      <c r="C327" s="57"/>
      <c r="D327" s="71"/>
      <c r="E327" s="71"/>
      <c r="F327" s="112" t="str">
        <f t="shared" si="16"/>
        <v>Rehap Rumah Tidak Layak Huni</v>
      </c>
      <c r="G327" s="150" t="s">
        <v>268</v>
      </c>
      <c r="H327" s="121">
        <v>10</v>
      </c>
      <c r="I327" s="96" t="s">
        <v>41</v>
      </c>
      <c r="J327" s="119" t="s">
        <v>254</v>
      </c>
      <c r="K327" s="77"/>
      <c r="L327" s="77">
        <f>5*1500000</f>
        <v>7500000</v>
      </c>
      <c r="M327" s="77"/>
      <c r="N327" s="77">
        <f>5*1500000</f>
        <v>7500000</v>
      </c>
      <c r="O327" s="77"/>
      <c r="P327" s="77"/>
      <c r="Q327" s="78">
        <f t="shared" si="15"/>
        <v>15000000</v>
      </c>
      <c r="R327" s="57" t="s">
        <v>577</v>
      </c>
      <c r="S327" s="82" t="s">
        <v>250</v>
      </c>
      <c r="T327" s="114"/>
      <c r="U327" s="114"/>
    </row>
    <row r="328" spans="1:21" s="115" customFormat="1" ht="44.25" customHeight="1">
      <c r="A328" s="82"/>
      <c r="B328" s="110"/>
      <c r="C328" s="57"/>
      <c r="D328" s="71"/>
      <c r="E328" s="71"/>
      <c r="F328" s="141" t="s">
        <v>151</v>
      </c>
      <c r="G328" s="94"/>
      <c r="H328" s="95"/>
      <c r="I328" s="96"/>
      <c r="J328" s="119"/>
      <c r="K328" s="77"/>
      <c r="L328" s="77"/>
      <c r="M328" s="77"/>
      <c r="N328" s="77"/>
      <c r="O328" s="77"/>
      <c r="P328" s="77"/>
      <c r="Q328" s="78">
        <f t="shared" si="15"/>
        <v>0</v>
      </c>
      <c r="R328" s="57"/>
      <c r="S328" s="117"/>
      <c r="T328" s="114"/>
      <c r="U328" s="114"/>
    </row>
    <row r="329" spans="1:21" s="115" customFormat="1" ht="60.75" customHeight="1">
      <c r="A329" s="82"/>
      <c r="B329" s="110"/>
      <c r="C329" s="57"/>
      <c r="D329" s="71"/>
      <c r="E329" s="71"/>
      <c r="F329" s="116" t="s">
        <v>151</v>
      </c>
      <c r="G329" s="94" t="s">
        <v>277</v>
      </c>
      <c r="H329" s="95">
        <v>9</v>
      </c>
      <c r="I329" s="96" t="s">
        <v>41</v>
      </c>
      <c r="J329" s="119" t="s">
        <v>254</v>
      </c>
      <c r="K329" s="77">
        <f>5*4250000</f>
        <v>21250000</v>
      </c>
      <c r="L329" s="77"/>
      <c r="M329" s="77">
        <f>4*4250000</f>
        <v>17000000</v>
      </c>
      <c r="N329" s="77"/>
      <c r="O329" s="77"/>
      <c r="P329" s="77"/>
      <c r="Q329" s="78">
        <f t="shared" si="15"/>
        <v>38250000</v>
      </c>
      <c r="R329" s="57" t="s">
        <v>655</v>
      </c>
      <c r="S329" s="82" t="s">
        <v>250</v>
      </c>
      <c r="T329" s="114"/>
      <c r="U329" s="114"/>
    </row>
    <row r="330" spans="1:21" s="115" customFormat="1" ht="60.75" customHeight="1">
      <c r="A330" s="82"/>
      <c r="B330" s="110"/>
      <c r="C330" s="57"/>
      <c r="D330" s="71"/>
      <c r="E330" s="71"/>
      <c r="F330" s="116" t="str">
        <f>F329</f>
        <v>Pemberian stimulan jamban sehat</v>
      </c>
      <c r="G330" s="94" t="s">
        <v>551</v>
      </c>
      <c r="H330" s="95">
        <v>10</v>
      </c>
      <c r="I330" s="96" t="s">
        <v>41</v>
      </c>
      <c r="J330" s="119" t="s">
        <v>254</v>
      </c>
      <c r="K330" s="77">
        <f>5*4250000</f>
        <v>21250000</v>
      </c>
      <c r="L330" s="77"/>
      <c r="M330" s="77">
        <f>5*4250000</f>
        <v>21250000</v>
      </c>
      <c r="N330" s="77"/>
      <c r="O330" s="77"/>
      <c r="P330" s="77"/>
      <c r="Q330" s="78">
        <f t="shared" si="15"/>
        <v>42500000</v>
      </c>
      <c r="R330" s="57" t="s">
        <v>655</v>
      </c>
      <c r="S330" s="82" t="s">
        <v>250</v>
      </c>
      <c r="T330" s="114"/>
      <c r="U330" s="114"/>
    </row>
    <row r="331" spans="1:21" s="115" customFormat="1" ht="60.75" customHeight="1">
      <c r="A331" s="82"/>
      <c r="B331" s="110"/>
      <c r="C331" s="57"/>
      <c r="D331" s="71"/>
      <c r="E331" s="71">
        <v>7</v>
      </c>
      <c r="F331" s="116" t="str">
        <f>F330</f>
        <v>Pemberian stimulan jamban sehat</v>
      </c>
      <c r="G331" s="150" t="s">
        <v>284</v>
      </c>
      <c r="H331" s="121">
        <v>7</v>
      </c>
      <c r="I331" s="96" t="s">
        <v>41</v>
      </c>
      <c r="J331" s="119" t="s">
        <v>254</v>
      </c>
      <c r="K331" s="77">
        <f>4*4250000</f>
        <v>17000000</v>
      </c>
      <c r="L331" s="77"/>
      <c r="M331" s="77">
        <f>3*4250000</f>
        <v>12750000</v>
      </c>
      <c r="N331" s="77"/>
      <c r="O331" s="77"/>
      <c r="P331" s="77"/>
      <c r="Q331" s="78">
        <f t="shared" si="15"/>
        <v>29750000</v>
      </c>
      <c r="R331" s="57" t="s">
        <v>655</v>
      </c>
      <c r="S331" s="82" t="s">
        <v>250</v>
      </c>
      <c r="T331" s="114"/>
      <c r="U331" s="114"/>
    </row>
    <row r="332" spans="1:21" s="115" customFormat="1" ht="60.75" customHeight="1">
      <c r="A332" s="82"/>
      <c r="B332" s="110"/>
      <c r="C332" s="57"/>
      <c r="D332" s="71"/>
      <c r="E332" s="71"/>
      <c r="F332" s="116" t="str">
        <f>F331</f>
        <v>Pemberian stimulan jamban sehat</v>
      </c>
      <c r="G332" s="150" t="s">
        <v>269</v>
      </c>
      <c r="H332" s="121">
        <v>30</v>
      </c>
      <c r="I332" s="96" t="s">
        <v>41</v>
      </c>
      <c r="J332" s="119" t="s">
        <v>254</v>
      </c>
      <c r="K332" s="77">
        <f>15*4250000</f>
        <v>63750000</v>
      </c>
      <c r="L332" s="77"/>
      <c r="M332" s="77">
        <f>15*4250000</f>
        <v>63750000</v>
      </c>
      <c r="N332" s="77"/>
      <c r="O332" s="77"/>
      <c r="P332" s="77"/>
      <c r="Q332" s="78">
        <f t="shared" si="15"/>
        <v>127500000</v>
      </c>
      <c r="R332" s="57" t="s">
        <v>655</v>
      </c>
      <c r="S332" s="82" t="s">
        <v>250</v>
      </c>
      <c r="T332" s="114"/>
      <c r="U332" s="114"/>
    </row>
    <row r="333" spans="1:21" s="115" customFormat="1" ht="60.75" customHeight="1">
      <c r="A333" s="82"/>
      <c r="B333" s="110"/>
      <c r="C333" s="57"/>
      <c r="D333" s="71"/>
      <c r="E333" s="71"/>
      <c r="F333" s="116" t="str">
        <f t="shared" ref="F333:F341" si="17">F332</f>
        <v>Pemberian stimulan jamban sehat</v>
      </c>
      <c r="G333" s="150" t="s">
        <v>275</v>
      </c>
      <c r="H333" s="121">
        <v>7</v>
      </c>
      <c r="I333" s="96" t="s">
        <v>41</v>
      </c>
      <c r="J333" s="119" t="s">
        <v>254</v>
      </c>
      <c r="K333" s="77">
        <f>4*4250000</f>
        <v>17000000</v>
      </c>
      <c r="L333" s="77"/>
      <c r="M333" s="77">
        <f>3*4250000</f>
        <v>12750000</v>
      </c>
      <c r="N333" s="77"/>
      <c r="O333" s="77"/>
      <c r="P333" s="77"/>
      <c r="Q333" s="78">
        <f t="shared" si="15"/>
        <v>29750000</v>
      </c>
      <c r="R333" s="57" t="s">
        <v>655</v>
      </c>
      <c r="S333" s="82" t="s">
        <v>250</v>
      </c>
      <c r="T333" s="114"/>
      <c r="U333" s="114"/>
    </row>
    <row r="334" spans="1:21" s="115" customFormat="1" ht="60.75" customHeight="1">
      <c r="A334" s="82"/>
      <c r="B334" s="110"/>
      <c r="C334" s="57"/>
      <c r="D334" s="71"/>
      <c r="E334" s="71"/>
      <c r="F334" s="116" t="str">
        <f t="shared" si="17"/>
        <v>Pemberian stimulan jamban sehat</v>
      </c>
      <c r="G334" s="150" t="s">
        <v>561</v>
      </c>
      <c r="H334" s="121">
        <v>8</v>
      </c>
      <c r="I334" s="96" t="s">
        <v>41</v>
      </c>
      <c r="J334" s="119" t="s">
        <v>254</v>
      </c>
      <c r="K334" s="77">
        <f>4*4250000</f>
        <v>17000000</v>
      </c>
      <c r="L334" s="77"/>
      <c r="M334" s="77">
        <f>4*4250000</f>
        <v>17000000</v>
      </c>
      <c r="N334" s="77"/>
      <c r="O334" s="77"/>
      <c r="P334" s="77"/>
      <c r="Q334" s="78">
        <f t="shared" si="15"/>
        <v>34000000</v>
      </c>
      <c r="R334" s="57" t="s">
        <v>655</v>
      </c>
      <c r="S334" s="82" t="s">
        <v>250</v>
      </c>
      <c r="T334" s="114"/>
      <c r="U334" s="114"/>
    </row>
    <row r="335" spans="1:21" s="115" customFormat="1" ht="60.75" customHeight="1">
      <c r="A335" s="82"/>
      <c r="B335" s="110"/>
      <c r="C335" s="57"/>
      <c r="D335" s="71"/>
      <c r="E335" s="71"/>
      <c r="F335" s="116" t="str">
        <f t="shared" si="17"/>
        <v>Pemberian stimulan jamban sehat</v>
      </c>
      <c r="G335" s="150" t="s">
        <v>264</v>
      </c>
      <c r="H335" s="121">
        <v>12</v>
      </c>
      <c r="I335" s="96" t="s">
        <v>41</v>
      </c>
      <c r="J335" s="119" t="s">
        <v>254</v>
      </c>
      <c r="K335" s="77">
        <f>6*4250000</f>
        <v>25500000</v>
      </c>
      <c r="L335" s="77"/>
      <c r="M335" s="77">
        <f>6*4250000</f>
        <v>25500000</v>
      </c>
      <c r="N335" s="77"/>
      <c r="O335" s="77"/>
      <c r="P335" s="77"/>
      <c r="Q335" s="78">
        <f t="shared" si="15"/>
        <v>51000000</v>
      </c>
      <c r="R335" s="57" t="s">
        <v>655</v>
      </c>
      <c r="S335" s="82" t="s">
        <v>250</v>
      </c>
      <c r="T335" s="114"/>
      <c r="U335" s="114"/>
    </row>
    <row r="336" spans="1:21" s="115" customFormat="1" ht="60.75" customHeight="1">
      <c r="A336" s="82"/>
      <c r="B336" s="110"/>
      <c r="C336" s="57"/>
      <c r="D336" s="71"/>
      <c r="E336" s="71"/>
      <c r="F336" s="116" t="str">
        <f t="shared" si="17"/>
        <v>Pemberian stimulan jamban sehat</v>
      </c>
      <c r="G336" s="150" t="s">
        <v>265</v>
      </c>
      <c r="H336" s="121">
        <v>15</v>
      </c>
      <c r="I336" s="96" t="s">
        <v>41</v>
      </c>
      <c r="J336" s="119" t="s">
        <v>254</v>
      </c>
      <c r="K336" s="77">
        <f>8*4250000</f>
        <v>34000000</v>
      </c>
      <c r="L336" s="77"/>
      <c r="M336" s="77">
        <f>7*4250000</f>
        <v>29750000</v>
      </c>
      <c r="N336" s="77"/>
      <c r="O336" s="77"/>
      <c r="P336" s="77"/>
      <c r="Q336" s="78">
        <f t="shared" si="15"/>
        <v>63750000</v>
      </c>
      <c r="R336" s="57" t="s">
        <v>655</v>
      </c>
      <c r="S336" s="82" t="s">
        <v>250</v>
      </c>
      <c r="T336" s="114"/>
      <c r="U336" s="114"/>
    </row>
    <row r="337" spans="1:21" s="115" customFormat="1" ht="60.75" customHeight="1">
      <c r="A337" s="82"/>
      <c r="B337" s="110"/>
      <c r="C337" s="57"/>
      <c r="D337" s="71"/>
      <c r="E337" s="71"/>
      <c r="F337" s="116" t="str">
        <f t="shared" si="17"/>
        <v>Pemberian stimulan jamban sehat</v>
      </c>
      <c r="G337" s="150" t="s">
        <v>272</v>
      </c>
      <c r="H337" s="121">
        <v>15</v>
      </c>
      <c r="I337" s="96" t="s">
        <v>41</v>
      </c>
      <c r="J337" s="119" t="s">
        <v>254</v>
      </c>
      <c r="K337" s="77">
        <f>8*4250000</f>
        <v>34000000</v>
      </c>
      <c r="L337" s="77"/>
      <c r="M337" s="77">
        <f>7*4250000</f>
        <v>29750000</v>
      </c>
      <c r="N337" s="77"/>
      <c r="O337" s="77"/>
      <c r="P337" s="77"/>
      <c r="Q337" s="78">
        <f t="shared" si="15"/>
        <v>63750000</v>
      </c>
      <c r="R337" s="57" t="s">
        <v>655</v>
      </c>
      <c r="S337" s="82" t="s">
        <v>250</v>
      </c>
      <c r="T337" s="114"/>
      <c r="U337" s="114"/>
    </row>
    <row r="338" spans="1:21" s="115" customFormat="1" ht="60.75" customHeight="1">
      <c r="A338" s="82"/>
      <c r="B338" s="110"/>
      <c r="C338" s="57"/>
      <c r="D338" s="71"/>
      <c r="E338" s="71"/>
      <c r="F338" s="116" t="str">
        <f t="shared" si="17"/>
        <v>Pemberian stimulan jamban sehat</v>
      </c>
      <c r="G338" s="150" t="s">
        <v>227</v>
      </c>
      <c r="H338" s="121">
        <v>10</v>
      </c>
      <c r="I338" s="96" t="s">
        <v>41</v>
      </c>
      <c r="J338" s="119" t="s">
        <v>254</v>
      </c>
      <c r="K338" s="77">
        <f>5*4250000</f>
        <v>21250000</v>
      </c>
      <c r="L338" s="77"/>
      <c r="M338" s="77">
        <f>5*4250000</f>
        <v>21250000</v>
      </c>
      <c r="N338" s="77"/>
      <c r="O338" s="77"/>
      <c r="P338" s="77"/>
      <c r="Q338" s="78">
        <f t="shared" si="15"/>
        <v>42500000</v>
      </c>
      <c r="R338" s="57" t="s">
        <v>655</v>
      </c>
      <c r="S338" s="82" t="s">
        <v>250</v>
      </c>
      <c r="T338" s="114"/>
      <c r="U338" s="114"/>
    </row>
    <row r="339" spans="1:21" s="115" customFormat="1" ht="60.75" customHeight="1">
      <c r="A339" s="82"/>
      <c r="B339" s="110"/>
      <c r="C339" s="57"/>
      <c r="D339" s="71"/>
      <c r="E339" s="71"/>
      <c r="F339" s="116" t="str">
        <f t="shared" si="17"/>
        <v>Pemberian stimulan jamban sehat</v>
      </c>
      <c r="G339" s="150" t="s">
        <v>656</v>
      </c>
      <c r="H339" s="121">
        <v>6</v>
      </c>
      <c r="I339" s="96" t="s">
        <v>41</v>
      </c>
      <c r="J339" s="119" t="s">
        <v>254</v>
      </c>
      <c r="K339" s="77">
        <f>3*4250000</f>
        <v>12750000</v>
      </c>
      <c r="L339" s="77"/>
      <c r="M339" s="77">
        <f>3*4250000</f>
        <v>12750000</v>
      </c>
      <c r="N339" s="77"/>
      <c r="O339" s="77"/>
      <c r="P339" s="77"/>
      <c r="Q339" s="78">
        <f t="shared" si="15"/>
        <v>25500000</v>
      </c>
      <c r="R339" s="57" t="s">
        <v>655</v>
      </c>
      <c r="S339" s="82" t="s">
        <v>250</v>
      </c>
      <c r="T339" s="114"/>
      <c r="U339" s="114"/>
    </row>
    <row r="340" spans="1:21" s="115" customFormat="1" ht="60.75" customHeight="1">
      <c r="A340" s="82"/>
      <c r="B340" s="110"/>
      <c r="C340" s="57"/>
      <c r="D340" s="71"/>
      <c r="E340" s="71"/>
      <c r="F340" s="116" t="str">
        <f t="shared" si="17"/>
        <v>Pemberian stimulan jamban sehat</v>
      </c>
      <c r="G340" s="150" t="s">
        <v>267</v>
      </c>
      <c r="H340" s="121">
        <v>10</v>
      </c>
      <c r="I340" s="96" t="s">
        <v>41</v>
      </c>
      <c r="J340" s="119" t="s">
        <v>254</v>
      </c>
      <c r="K340" s="77">
        <f>5*4250000</f>
        <v>21250000</v>
      </c>
      <c r="L340" s="77"/>
      <c r="M340" s="77">
        <f>5*4250000</f>
        <v>21250000</v>
      </c>
      <c r="N340" s="77"/>
      <c r="O340" s="77"/>
      <c r="P340" s="77"/>
      <c r="Q340" s="78">
        <f t="shared" si="15"/>
        <v>42500000</v>
      </c>
      <c r="R340" s="57" t="s">
        <v>655</v>
      </c>
      <c r="S340" s="82" t="s">
        <v>250</v>
      </c>
      <c r="T340" s="114"/>
      <c r="U340" s="114"/>
    </row>
    <row r="341" spans="1:21" s="115" customFormat="1" ht="60.75" customHeight="1">
      <c r="A341" s="82"/>
      <c r="B341" s="110"/>
      <c r="C341" s="57"/>
      <c r="D341" s="71"/>
      <c r="E341" s="71"/>
      <c r="F341" s="116" t="str">
        <f t="shared" si="17"/>
        <v>Pemberian stimulan jamban sehat</v>
      </c>
      <c r="G341" s="150" t="s">
        <v>268</v>
      </c>
      <c r="H341" s="121">
        <v>8</v>
      </c>
      <c r="I341" s="96" t="s">
        <v>41</v>
      </c>
      <c r="J341" s="119" t="s">
        <v>254</v>
      </c>
      <c r="K341" s="77">
        <f>4*4250000</f>
        <v>17000000</v>
      </c>
      <c r="L341" s="77"/>
      <c r="M341" s="77">
        <f>4*4250000</f>
        <v>17000000</v>
      </c>
      <c r="N341" s="77"/>
      <c r="O341" s="77"/>
      <c r="P341" s="77"/>
      <c r="Q341" s="78">
        <f t="shared" si="15"/>
        <v>34000000</v>
      </c>
      <c r="R341" s="57" t="s">
        <v>655</v>
      </c>
      <c r="S341" s="82" t="s">
        <v>250</v>
      </c>
      <c r="T341" s="114"/>
      <c r="U341" s="114"/>
    </row>
    <row r="342" spans="1:21" s="115" customFormat="1" ht="44.25" customHeight="1">
      <c r="A342" s="82"/>
      <c r="B342" s="110"/>
      <c r="C342" s="57"/>
      <c r="D342" s="71"/>
      <c r="E342" s="71"/>
      <c r="F342" s="133" t="s">
        <v>657</v>
      </c>
      <c r="G342" s="150"/>
      <c r="H342" s="121"/>
      <c r="I342" s="96"/>
      <c r="J342" s="119"/>
      <c r="K342" s="77"/>
      <c r="L342" s="77"/>
      <c r="M342" s="77"/>
      <c r="N342" s="77"/>
      <c r="O342" s="77"/>
      <c r="P342" s="77"/>
      <c r="Q342" s="78">
        <f t="shared" si="15"/>
        <v>0</v>
      </c>
      <c r="R342" s="57"/>
      <c r="S342" s="117"/>
      <c r="T342" s="114"/>
      <c r="U342" s="114"/>
    </row>
    <row r="343" spans="1:21" s="115" customFormat="1" ht="44.25" customHeight="1">
      <c r="A343" s="82"/>
      <c r="B343" s="110"/>
      <c r="C343" s="57"/>
      <c r="D343" s="71"/>
      <c r="E343" s="71"/>
      <c r="F343" s="116" t="s">
        <v>658</v>
      </c>
      <c r="G343" s="150" t="s">
        <v>561</v>
      </c>
      <c r="H343" s="121">
        <v>20</v>
      </c>
      <c r="I343" s="96" t="s">
        <v>41</v>
      </c>
      <c r="J343" s="119" t="s">
        <v>254</v>
      </c>
      <c r="K343" s="77">
        <f>10*3000000</f>
        <v>30000000</v>
      </c>
      <c r="L343" s="77"/>
      <c r="M343" s="77"/>
      <c r="N343" s="77">
        <v>30000000</v>
      </c>
      <c r="O343" s="77"/>
      <c r="P343" s="77"/>
      <c r="Q343" s="78">
        <f t="shared" si="15"/>
        <v>60000000</v>
      </c>
      <c r="R343" s="57" t="s">
        <v>397</v>
      </c>
      <c r="S343" s="82" t="s">
        <v>250</v>
      </c>
      <c r="T343" s="114"/>
      <c r="U343" s="114"/>
    </row>
    <row r="344" spans="1:21" s="115" customFormat="1" ht="44.25" customHeight="1">
      <c r="A344" s="82"/>
      <c r="B344" s="110"/>
      <c r="C344" s="57"/>
      <c r="D344" s="71"/>
      <c r="E344" s="71"/>
      <c r="F344" s="116" t="str">
        <f>F343</f>
        <v>Pemberian Stimual SPAL</v>
      </c>
      <c r="G344" s="150" t="s">
        <v>264</v>
      </c>
      <c r="H344" s="121">
        <v>30</v>
      </c>
      <c r="I344" s="96" t="s">
        <v>41</v>
      </c>
      <c r="J344" s="119" t="s">
        <v>254</v>
      </c>
      <c r="K344" s="77">
        <f>15*3000000</f>
        <v>45000000</v>
      </c>
      <c r="L344" s="77"/>
      <c r="M344" s="77"/>
      <c r="N344" s="77">
        <v>45000000</v>
      </c>
      <c r="O344" s="77"/>
      <c r="P344" s="77"/>
      <c r="Q344" s="78">
        <f t="shared" si="15"/>
        <v>90000000</v>
      </c>
      <c r="R344" s="57" t="s">
        <v>397</v>
      </c>
      <c r="S344" s="82" t="s">
        <v>250</v>
      </c>
      <c r="T344" s="114"/>
      <c r="U344" s="114"/>
    </row>
    <row r="345" spans="1:21" s="115" customFormat="1" ht="44.25" customHeight="1">
      <c r="A345" s="82"/>
      <c r="B345" s="110"/>
      <c r="C345" s="57"/>
      <c r="D345" s="71"/>
      <c r="E345" s="71"/>
      <c r="F345" s="116" t="str">
        <f>F344</f>
        <v>Pemberian Stimual SPAL</v>
      </c>
      <c r="G345" s="150" t="s">
        <v>656</v>
      </c>
      <c r="H345" s="121">
        <v>20</v>
      </c>
      <c r="I345" s="96" t="s">
        <v>41</v>
      </c>
      <c r="J345" s="119" t="s">
        <v>254</v>
      </c>
      <c r="K345" s="77">
        <f>10*3000000</f>
        <v>30000000</v>
      </c>
      <c r="L345" s="77"/>
      <c r="M345" s="77"/>
      <c r="N345" s="77">
        <v>30000000</v>
      </c>
      <c r="O345" s="77"/>
      <c r="P345" s="77"/>
      <c r="Q345" s="78">
        <f t="shared" si="15"/>
        <v>60000000</v>
      </c>
      <c r="R345" s="57" t="s">
        <v>397</v>
      </c>
      <c r="S345" s="82" t="s">
        <v>250</v>
      </c>
      <c r="T345" s="114"/>
      <c r="U345" s="114"/>
    </row>
    <row r="346" spans="1:21" s="115" customFormat="1" ht="44.25" customHeight="1">
      <c r="A346" s="82"/>
      <c r="B346" s="110"/>
      <c r="C346" s="57"/>
      <c r="D346" s="71"/>
      <c r="E346" s="71"/>
      <c r="F346" s="116" t="str">
        <f>F345</f>
        <v>Pemberian Stimual SPAL</v>
      </c>
      <c r="G346" s="150" t="s">
        <v>267</v>
      </c>
      <c r="H346" s="121">
        <v>8</v>
      </c>
      <c r="I346" s="96" t="s">
        <v>41</v>
      </c>
      <c r="J346" s="119" t="s">
        <v>254</v>
      </c>
      <c r="K346" s="77">
        <f>4*3000000</f>
        <v>12000000</v>
      </c>
      <c r="L346" s="77"/>
      <c r="M346" s="77"/>
      <c r="N346" s="77">
        <v>12000000</v>
      </c>
      <c r="O346" s="77"/>
      <c r="P346" s="77"/>
      <c r="Q346" s="78">
        <f t="shared" si="15"/>
        <v>24000000</v>
      </c>
      <c r="R346" s="57" t="s">
        <v>397</v>
      </c>
      <c r="S346" s="82" t="s">
        <v>250</v>
      </c>
      <c r="T346" s="114"/>
      <c r="U346" s="114"/>
    </row>
    <row r="347" spans="1:21" s="115" customFormat="1" ht="44.25" customHeight="1">
      <c r="A347" s="82"/>
      <c r="B347" s="110"/>
      <c r="C347" s="57"/>
      <c r="D347" s="71"/>
      <c r="E347" s="71"/>
      <c r="F347" s="116" t="str">
        <f>F346</f>
        <v>Pemberian Stimual SPAL</v>
      </c>
      <c r="G347" s="150" t="s">
        <v>268</v>
      </c>
      <c r="H347" s="121">
        <v>10</v>
      </c>
      <c r="I347" s="96" t="s">
        <v>41</v>
      </c>
      <c r="J347" s="119" t="s">
        <v>254</v>
      </c>
      <c r="K347" s="77">
        <f>5*3000000</f>
        <v>15000000</v>
      </c>
      <c r="L347" s="77"/>
      <c r="M347" s="77"/>
      <c r="N347" s="77">
        <v>15000000</v>
      </c>
      <c r="O347" s="77"/>
      <c r="P347" s="77"/>
      <c r="Q347" s="78">
        <f t="shared" si="15"/>
        <v>30000000</v>
      </c>
      <c r="R347" s="57" t="s">
        <v>397</v>
      </c>
      <c r="S347" s="82" t="s">
        <v>250</v>
      </c>
      <c r="T347" s="114"/>
      <c r="U347" s="114"/>
    </row>
    <row r="348" spans="1:21" s="115" customFormat="1" ht="61.5" customHeight="1">
      <c r="A348" s="82"/>
      <c r="B348" s="110"/>
      <c r="C348" s="57"/>
      <c r="D348" s="71"/>
      <c r="E348" s="71"/>
      <c r="F348" s="133" t="s">
        <v>148</v>
      </c>
      <c r="G348" s="150"/>
      <c r="H348" s="121"/>
      <c r="I348" s="151"/>
      <c r="J348" s="119"/>
      <c r="K348" s="77"/>
      <c r="L348" s="77"/>
      <c r="M348" s="77"/>
      <c r="N348" s="77"/>
      <c r="O348" s="77"/>
      <c r="P348" s="77"/>
      <c r="Q348" s="78">
        <f t="shared" si="15"/>
        <v>0</v>
      </c>
      <c r="R348" s="57"/>
      <c r="S348" s="117"/>
      <c r="T348" s="114"/>
      <c r="U348" s="114"/>
    </row>
    <row r="349" spans="1:21" s="115" customFormat="1" ht="44.25" customHeight="1">
      <c r="A349" s="82"/>
      <c r="B349" s="110"/>
      <c r="C349" s="57"/>
      <c r="D349" s="71"/>
      <c r="E349" s="71"/>
      <c r="F349" s="152" t="s">
        <v>148</v>
      </c>
      <c r="G349" s="150" t="s">
        <v>659</v>
      </c>
      <c r="H349" s="121">
        <v>500</v>
      </c>
      <c r="I349" s="151" t="s">
        <v>26</v>
      </c>
      <c r="J349" s="119" t="s">
        <v>254</v>
      </c>
      <c r="K349" s="77">
        <f>H349*10000</f>
        <v>5000000</v>
      </c>
      <c r="L349" s="77"/>
      <c r="M349" s="77"/>
      <c r="N349" s="77"/>
      <c r="O349" s="77">
        <v>5000000</v>
      </c>
      <c r="P349" s="77"/>
      <c r="Q349" s="78">
        <f t="shared" si="15"/>
        <v>10000000</v>
      </c>
      <c r="R349" s="57" t="s">
        <v>21</v>
      </c>
      <c r="S349" s="82" t="s">
        <v>250</v>
      </c>
      <c r="T349" s="114"/>
      <c r="U349" s="114"/>
    </row>
    <row r="350" spans="1:21" s="115" customFormat="1" ht="44.25" customHeight="1">
      <c r="A350" s="82"/>
      <c r="B350" s="110"/>
      <c r="C350" s="57"/>
      <c r="D350" s="71"/>
      <c r="E350" s="71"/>
      <c r="F350" s="152" t="s">
        <v>148</v>
      </c>
      <c r="G350" s="150" t="s">
        <v>524</v>
      </c>
      <c r="H350" s="121">
        <v>200</v>
      </c>
      <c r="I350" s="151" t="s">
        <v>26</v>
      </c>
      <c r="J350" s="119" t="s">
        <v>254</v>
      </c>
      <c r="K350" s="77">
        <f t="shared" ref="K350:K351" si="18">H350*10000</f>
        <v>2000000</v>
      </c>
      <c r="L350" s="77"/>
      <c r="M350" s="77"/>
      <c r="N350" s="77">
        <f>K350</f>
        <v>2000000</v>
      </c>
      <c r="O350" s="77"/>
      <c r="P350" s="77"/>
      <c r="Q350" s="78">
        <f t="shared" si="15"/>
        <v>4000000</v>
      </c>
      <c r="R350" s="57" t="s">
        <v>21</v>
      </c>
      <c r="S350" s="82" t="s">
        <v>250</v>
      </c>
      <c r="T350" s="114"/>
      <c r="U350" s="114"/>
    </row>
    <row r="351" spans="1:21" s="115" customFormat="1" ht="44.25" customHeight="1">
      <c r="A351" s="82"/>
      <c r="B351" s="110"/>
      <c r="C351" s="57"/>
      <c r="D351" s="71"/>
      <c r="E351" s="71"/>
      <c r="F351" s="152" t="s">
        <v>148</v>
      </c>
      <c r="G351" s="150" t="s">
        <v>526</v>
      </c>
      <c r="H351" s="121">
        <v>250</v>
      </c>
      <c r="I351" s="151" t="s">
        <v>26</v>
      </c>
      <c r="J351" s="119" t="s">
        <v>254</v>
      </c>
      <c r="K351" s="77">
        <f t="shared" si="18"/>
        <v>2500000</v>
      </c>
      <c r="L351" s="77">
        <f t="shared" ref="L351:O351" si="19">K351</f>
        <v>2500000</v>
      </c>
      <c r="M351" s="77">
        <f t="shared" si="19"/>
        <v>2500000</v>
      </c>
      <c r="N351" s="77">
        <f t="shared" si="19"/>
        <v>2500000</v>
      </c>
      <c r="O351" s="77">
        <f t="shared" si="19"/>
        <v>2500000</v>
      </c>
      <c r="P351" s="77"/>
      <c r="Q351" s="78">
        <f t="shared" si="15"/>
        <v>12500000</v>
      </c>
      <c r="R351" s="57" t="s">
        <v>21</v>
      </c>
      <c r="S351" s="82" t="s">
        <v>250</v>
      </c>
      <c r="T351" s="114"/>
      <c r="U351" s="114"/>
    </row>
    <row r="352" spans="1:21" s="158" customFormat="1" ht="44.25" customHeight="1">
      <c r="A352" s="153"/>
      <c r="B352" s="154"/>
      <c r="C352" s="155"/>
      <c r="D352" s="71"/>
      <c r="E352" s="71"/>
      <c r="F352" s="112" t="str">
        <f>F351</f>
        <v>Pemeliharaan Sanitasi Pemukiman (Gorong-gorong, Selokan, Parit diluar Prasarana Jalan))</v>
      </c>
      <c r="G352" s="150" t="s">
        <v>660</v>
      </c>
      <c r="H352" s="121">
        <v>2</v>
      </c>
      <c r="I352" s="151" t="s">
        <v>27</v>
      </c>
      <c r="J352" s="156" t="s">
        <v>254</v>
      </c>
      <c r="K352" s="77"/>
      <c r="L352" s="77"/>
      <c r="M352" s="77">
        <v>2000000</v>
      </c>
      <c r="N352" s="77"/>
      <c r="O352" s="77"/>
      <c r="P352" s="77"/>
      <c r="Q352" s="77">
        <f t="shared" si="15"/>
        <v>2000000</v>
      </c>
      <c r="R352" s="155" t="s">
        <v>21</v>
      </c>
      <c r="S352" s="153" t="s">
        <v>250</v>
      </c>
      <c r="T352" s="157"/>
      <c r="U352" s="157"/>
    </row>
    <row r="353" spans="1:21" s="115" customFormat="1" ht="66.75" customHeight="1">
      <c r="A353" s="82"/>
      <c r="B353" s="110"/>
      <c r="C353" s="57"/>
      <c r="D353" s="71"/>
      <c r="E353" s="71"/>
      <c r="F353" s="133" t="s">
        <v>661</v>
      </c>
      <c r="G353" s="150"/>
      <c r="H353" s="121"/>
      <c r="I353" s="151"/>
      <c r="J353" s="119"/>
      <c r="K353" s="77"/>
      <c r="L353" s="77"/>
      <c r="M353" s="77"/>
      <c r="N353" s="77"/>
      <c r="O353" s="77"/>
      <c r="P353" s="77"/>
      <c r="Q353" s="78">
        <f t="shared" si="15"/>
        <v>0</v>
      </c>
      <c r="R353" s="57"/>
      <c r="S353" s="117"/>
      <c r="T353" s="114"/>
      <c r="U353" s="114"/>
    </row>
    <row r="354" spans="1:21" s="115" customFormat="1" ht="44.25" customHeight="1">
      <c r="A354" s="82"/>
      <c r="B354" s="110"/>
      <c r="C354" s="57"/>
      <c r="D354" s="71"/>
      <c r="E354" s="71"/>
      <c r="F354" s="116" t="s">
        <v>662</v>
      </c>
      <c r="G354" s="150" t="s">
        <v>561</v>
      </c>
      <c r="H354" s="121">
        <v>500</v>
      </c>
      <c r="I354" s="151" t="s">
        <v>26</v>
      </c>
      <c r="J354" s="119" t="s">
        <v>298</v>
      </c>
      <c r="K354" s="77"/>
      <c r="L354" s="77">
        <f>H354*150000</f>
        <v>75000000</v>
      </c>
      <c r="M354" s="77"/>
      <c r="N354" s="77"/>
      <c r="O354" s="77"/>
      <c r="P354" s="77"/>
      <c r="Q354" s="78">
        <f t="shared" si="15"/>
        <v>75000000</v>
      </c>
      <c r="R354" s="57" t="s">
        <v>397</v>
      </c>
      <c r="S354" s="82" t="s">
        <v>250</v>
      </c>
      <c r="T354" s="114"/>
      <c r="U354" s="114"/>
    </row>
    <row r="355" spans="1:21" s="115" customFormat="1" ht="44.25" customHeight="1">
      <c r="A355" s="82"/>
      <c r="B355" s="110"/>
      <c r="C355" s="57"/>
      <c r="D355" s="71"/>
      <c r="E355" s="71"/>
      <c r="F355" s="116" t="s">
        <v>663</v>
      </c>
      <c r="G355" s="150" t="s">
        <v>271</v>
      </c>
      <c r="H355" s="121">
        <v>500</v>
      </c>
      <c r="I355" s="151" t="s">
        <v>26</v>
      </c>
      <c r="J355" s="119" t="s">
        <v>298</v>
      </c>
      <c r="K355" s="77"/>
      <c r="L355" s="77">
        <f t="shared" ref="L355:L356" si="20">H355*150000</f>
        <v>75000000</v>
      </c>
      <c r="M355" s="77"/>
      <c r="N355" s="77"/>
      <c r="O355" s="77"/>
      <c r="P355" s="77"/>
      <c r="Q355" s="78">
        <f t="shared" si="15"/>
        <v>75000000</v>
      </c>
      <c r="R355" s="57" t="s">
        <v>397</v>
      </c>
      <c r="S355" s="82" t="s">
        <v>250</v>
      </c>
      <c r="T355" s="114"/>
      <c r="U355" s="114"/>
    </row>
    <row r="356" spans="1:21" s="115" customFormat="1" ht="44.25" customHeight="1">
      <c r="A356" s="82"/>
      <c r="B356" s="110"/>
      <c r="C356" s="57"/>
      <c r="D356" s="71"/>
      <c r="E356" s="71"/>
      <c r="F356" s="116" t="s">
        <v>664</v>
      </c>
      <c r="G356" s="150" t="s">
        <v>265</v>
      </c>
      <c r="H356" s="121">
        <v>500</v>
      </c>
      <c r="I356" s="151" t="s">
        <v>26</v>
      </c>
      <c r="J356" s="119" t="s">
        <v>298</v>
      </c>
      <c r="K356" s="77"/>
      <c r="L356" s="77">
        <f t="shared" si="20"/>
        <v>75000000</v>
      </c>
      <c r="M356" s="77"/>
      <c r="N356" s="77"/>
      <c r="O356" s="77"/>
      <c r="P356" s="77"/>
      <c r="Q356" s="78">
        <f t="shared" si="15"/>
        <v>75000000</v>
      </c>
      <c r="R356" s="57" t="s">
        <v>397</v>
      </c>
      <c r="S356" s="82" t="s">
        <v>250</v>
      </c>
      <c r="T356" s="114"/>
      <c r="U356" s="114"/>
    </row>
    <row r="357" spans="1:21" s="115" customFormat="1" ht="44.25" customHeight="1">
      <c r="A357" s="82"/>
      <c r="B357" s="110"/>
      <c r="C357" s="57"/>
      <c r="D357" s="71"/>
      <c r="E357" s="71"/>
      <c r="F357" s="116" t="s">
        <v>280</v>
      </c>
      <c r="G357" s="150" t="s">
        <v>272</v>
      </c>
      <c r="H357" s="121">
        <v>500</v>
      </c>
      <c r="I357" s="151" t="s">
        <v>26</v>
      </c>
      <c r="J357" s="119" t="s">
        <v>298</v>
      </c>
      <c r="K357" s="77">
        <f>H357*150000</f>
        <v>75000000</v>
      </c>
      <c r="L357" s="77"/>
      <c r="M357" s="77"/>
      <c r="N357" s="77"/>
      <c r="O357" s="77"/>
      <c r="P357" s="77"/>
      <c r="Q357" s="78">
        <f t="shared" si="15"/>
        <v>75000000</v>
      </c>
      <c r="R357" s="57" t="s">
        <v>397</v>
      </c>
      <c r="S357" s="82" t="s">
        <v>250</v>
      </c>
      <c r="T357" s="114"/>
      <c r="U357" s="114"/>
    </row>
    <row r="358" spans="1:21" s="115" customFormat="1" ht="68.25" customHeight="1">
      <c r="A358" s="82"/>
      <c r="B358" s="110"/>
      <c r="C358" s="57"/>
      <c r="D358" s="71"/>
      <c r="E358" s="71">
        <v>10</v>
      </c>
      <c r="F358" s="133" t="s">
        <v>149</v>
      </c>
      <c r="G358" s="94"/>
      <c r="H358" s="95"/>
      <c r="I358" s="96"/>
      <c r="J358" s="119"/>
      <c r="K358" s="77"/>
      <c r="L358" s="159"/>
      <c r="M358" s="77"/>
      <c r="N358" s="77"/>
      <c r="O358" s="77"/>
      <c r="P358" s="77"/>
      <c r="Q358" s="78">
        <f t="shared" si="15"/>
        <v>0</v>
      </c>
      <c r="R358" s="57"/>
      <c r="S358" s="117"/>
      <c r="T358" s="114"/>
      <c r="U358" s="114"/>
    </row>
    <row r="359" spans="1:21" s="115" customFormat="1" ht="44.25" customHeight="1">
      <c r="A359" s="82"/>
      <c r="B359" s="110"/>
      <c r="C359" s="57"/>
      <c r="D359" s="71"/>
      <c r="E359" s="71"/>
      <c r="F359" s="116" t="s">
        <v>257</v>
      </c>
      <c r="G359" s="94" t="s">
        <v>269</v>
      </c>
      <c r="H359" s="95">
        <v>1</v>
      </c>
      <c r="I359" s="96" t="s">
        <v>41</v>
      </c>
      <c r="J359" s="119" t="s">
        <v>254</v>
      </c>
      <c r="K359" s="77"/>
      <c r="L359" s="77">
        <v>4250000</v>
      </c>
      <c r="M359" s="77"/>
      <c r="N359" s="77"/>
      <c r="O359" s="77"/>
      <c r="P359" s="77"/>
      <c r="Q359" s="78">
        <f t="shared" si="15"/>
        <v>4250000</v>
      </c>
      <c r="R359" s="57" t="s">
        <v>400</v>
      </c>
      <c r="S359" s="82" t="s">
        <v>250</v>
      </c>
      <c r="T359" s="114"/>
      <c r="U359" s="114"/>
    </row>
    <row r="360" spans="1:21" s="115" customFormat="1" ht="44.25" customHeight="1">
      <c r="A360" s="82"/>
      <c r="B360" s="110"/>
      <c r="C360" s="57"/>
      <c r="D360" s="71"/>
      <c r="E360" s="71"/>
      <c r="F360" s="116" t="s">
        <v>665</v>
      </c>
      <c r="G360" s="94" t="s">
        <v>271</v>
      </c>
      <c r="H360" s="95">
        <v>1</v>
      </c>
      <c r="I360" s="96" t="s">
        <v>41</v>
      </c>
      <c r="J360" s="119" t="s">
        <v>254</v>
      </c>
      <c r="K360" s="77"/>
      <c r="L360" s="77"/>
      <c r="M360" s="77">
        <v>4250000</v>
      </c>
      <c r="N360" s="77"/>
      <c r="O360" s="77"/>
      <c r="P360" s="77"/>
      <c r="Q360" s="78">
        <f t="shared" si="15"/>
        <v>4250000</v>
      </c>
      <c r="R360" s="57" t="s">
        <v>400</v>
      </c>
      <c r="S360" s="82" t="s">
        <v>250</v>
      </c>
      <c r="T360" s="114"/>
      <c r="U360" s="114"/>
    </row>
    <row r="361" spans="1:21" s="115" customFormat="1" ht="44.25" customHeight="1">
      <c r="A361" s="82"/>
      <c r="B361" s="110"/>
      <c r="C361" s="57"/>
      <c r="D361" s="71"/>
      <c r="E361" s="71"/>
      <c r="F361" s="116" t="s">
        <v>666</v>
      </c>
      <c r="G361" s="94" t="s">
        <v>267</v>
      </c>
      <c r="H361" s="95">
        <v>1</v>
      </c>
      <c r="I361" s="96" t="s">
        <v>41</v>
      </c>
      <c r="J361" s="119" t="s">
        <v>254</v>
      </c>
      <c r="K361" s="77"/>
      <c r="L361" s="77"/>
      <c r="M361" s="77"/>
      <c r="N361" s="77"/>
      <c r="O361" s="77">
        <v>4250000</v>
      </c>
      <c r="P361" s="77"/>
      <c r="Q361" s="78">
        <f t="shared" si="15"/>
        <v>4250000</v>
      </c>
      <c r="R361" s="57" t="s">
        <v>400</v>
      </c>
      <c r="S361" s="82" t="s">
        <v>250</v>
      </c>
      <c r="T361" s="114"/>
      <c r="U361" s="114"/>
    </row>
    <row r="362" spans="1:21" s="115" customFormat="1" ht="55.5" customHeight="1">
      <c r="A362" s="82"/>
      <c r="B362" s="110"/>
      <c r="C362" s="57"/>
      <c r="D362" s="71"/>
      <c r="E362" s="71"/>
      <c r="F362" s="133" t="s">
        <v>150</v>
      </c>
      <c r="G362" s="147"/>
      <c r="H362" s="148"/>
      <c r="I362" s="149"/>
      <c r="J362" s="119"/>
      <c r="K362" s="77"/>
      <c r="L362" s="77"/>
      <c r="M362" s="77"/>
      <c r="N362" s="77"/>
      <c r="O362" s="77"/>
      <c r="P362" s="77"/>
      <c r="Q362" s="78">
        <f t="shared" si="15"/>
        <v>0</v>
      </c>
      <c r="R362" s="57"/>
      <c r="S362" s="117"/>
      <c r="T362" s="114"/>
      <c r="U362" s="114"/>
    </row>
    <row r="363" spans="1:21" s="115" customFormat="1" ht="55.5" customHeight="1">
      <c r="A363" s="82"/>
      <c r="B363" s="110"/>
      <c r="C363" s="57"/>
      <c r="D363" s="71"/>
      <c r="E363" s="71"/>
      <c r="F363" s="118" t="s">
        <v>667</v>
      </c>
      <c r="G363" s="150" t="s">
        <v>275</v>
      </c>
      <c r="H363" s="121">
        <v>1</v>
      </c>
      <c r="I363" s="151" t="s">
        <v>255</v>
      </c>
      <c r="J363" s="119" t="s">
        <v>254</v>
      </c>
      <c r="K363" s="77">
        <v>42000000</v>
      </c>
      <c r="L363" s="77"/>
      <c r="M363" s="77"/>
      <c r="N363" s="77"/>
      <c r="O363" s="77"/>
      <c r="P363" s="77"/>
      <c r="Q363" s="78">
        <f t="shared" si="15"/>
        <v>42000000</v>
      </c>
      <c r="R363" s="57" t="s">
        <v>21</v>
      </c>
      <c r="S363" s="82" t="s">
        <v>250</v>
      </c>
      <c r="T363" s="114"/>
      <c r="U363" s="114"/>
    </row>
    <row r="364" spans="1:21" s="115" customFormat="1" ht="55.5" customHeight="1">
      <c r="A364" s="82"/>
      <c r="B364" s="110"/>
      <c r="C364" s="57"/>
      <c r="D364" s="71"/>
      <c r="E364" s="71"/>
      <c r="F364" s="133" t="s">
        <v>668</v>
      </c>
      <c r="G364" s="150"/>
      <c r="H364" s="121"/>
      <c r="I364" s="151"/>
      <c r="J364" s="119"/>
      <c r="K364" s="77"/>
      <c r="L364" s="77"/>
      <c r="M364" s="77"/>
      <c r="N364" s="77"/>
      <c r="O364" s="77"/>
      <c r="P364" s="77"/>
      <c r="Q364" s="78">
        <f t="shared" si="15"/>
        <v>0</v>
      </c>
      <c r="R364" s="57"/>
      <c r="S364" s="117"/>
      <c r="T364" s="114"/>
      <c r="U364" s="114"/>
    </row>
    <row r="365" spans="1:21" s="115" customFormat="1" ht="55.5" customHeight="1">
      <c r="A365" s="82"/>
      <c r="B365" s="110"/>
      <c r="C365" s="57"/>
      <c r="D365" s="71"/>
      <c r="E365" s="71"/>
      <c r="F365" s="118" t="s">
        <v>668</v>
      </c>
      <c r="G365" s="150" t="s">
        <v>669</v>
      </c>
      <c r="H365" s="121">
        <v>1</v>
      </c>
      <c r="I365" s="151"/>
      <c r="J365" s="119"/>
      <c r="K365" s="77"/>
      <c r="L365" s="77">
        <v>5000000</v>
      </c>
      <c r="M365" s="77"/>
      <c r="N365" s="77"/>
      <c r="O365" s="77"/>
      <c r="P365" s="77"/>
      <c r="Q365" s="78">
        <f t="shared" si="15"/>
        <v>5000000</v>
      </c>
      <c r="R365" s="57" t="s">
        <v>400</v>
      </c>
      <c r="S365" s="82" t="s">
        <v>250</v>
      </c>
      <c r="T365" s="114"/>
      <c r="U365" s="114"/>
    </row>
    <row r="366" spans="1:21" s="115" customFormat="1" ht="55.5" customHeight="1">
      <c r="A366" s="82"/>
      <c r="B366" s="110"/>
      <c r="C366" s="57"/>
      <c r="D366" s="71"/>
      <c r="E366" s="71"/>
      <c r="F366" s="133" t="s">
        <v>670</v>
      </c>
      <c r="G366" s="147"/>
      <c r="H366" s="148"/>
      <c r="I366" s="149"/>
      <c r="J366" s="119"/>
      <c r="K366" s="77"/>
      <c r="L366" s="77"/>
      <c r="M366" s="77"/>
      <c r="N366" s="77"/>
      <c r="O366" s="77"/>
      <c r="P366" s="77"/>
      <c r="Q366" s="78">
        <f t="shared" si="15"/>
        <v>0</v>
      </c>
      <c r="R366" s="57"/>
      <c r="S366" s="117"/>
      <c r="T366" s="114"/>
      <c r="U366" s="114"/>
    </row>
    <row r="367" spans="1:21" s="115" customFormat="1" ht="55.5" customHeight="1">
      <c r="A367" s="82"/>
      <c r="B367" s="110"/>
      <c r="C367" s="57"/>
      <c r="D367" s="71"/>
      <c r="E367" s="71"/>
      <c r="F367" s="118" t="s">
        <v>671</v>
      </c>
      <c r="G367" s="150" t="s">
        <v>271</v>
      </c>
      <c r="H367" s="121">
        <v>1</v>
      </c>
      <c r="I367" s="151" t="s">
        <v>255</v>
      </c>
      <c r="J367" s="119" t="s">
        <v>254</v>
      </c>
      <c r="K367" s="77"/>
      <c r="L367" s="77"/>
      <c r="M367" s="77">
        <v>10000000</v>
      </c>
      <c r="N367" s="77"/>
      <c r="O367" s="77"/>
      <c r="P367" s="77"/>
      <c r="Q367" s="78">
        <f t="shared" si="15"/>
        <v>10000000</v>
      </c>
      <c r="R367" s="57" t="s">
        <v>397</v>
      </c>
      <c r="S367" s="82" t="s">
        <v>250</v>
      </c>
      <c r="T367" s="114"/>
      <c r="U367" s="114"/>
    </row>
    <row r="368" spans="1:21" s="115" customFormat="1" ht="44.25" customHeight="1">
      <c r="A368" s="82"/>
      <c r="B368" s="110"/>
      <c r="C368" s="57"/>
      <c r="D368" s="71"/>
      <c r="E368" s="71"/>
      <c r="F368" s="112" t="s">
        <v>672</v>
      </c>
      <c r="G368" s="94" t="s">
        <v>227</v>
      </c>
      <c r="H368" s="95"/>
      <c r="I368" s="96"/>
      <c r="J368" s="119" t="s">
        <v>254</v>
      </c>
      <c r="K368" s="77">
        <v>2000000</v>
      </c>
      <c r="L368" s="77"/>
      <c r="M368" s="77"/>
      <c r="N368" s="77"/>
      <c r="O368" s="159"/>
      <c r="P368" s="77"/>
      <c r="Q368" s="78">
        <f t="shared" si="15"/>
        <v>2000000</v>
      </c>
      <c r="R368" s="57" t="s">
        <v>397</v>
      </c>
      <c r="S368" s="82" t="s">
        <v>250</v>
      </c>
      <c r="T368" s="114"/>
      <c r="U368" s="114"/>
    </row>
    <row r="369" spans="1:21" s="115" customFormat="1" ht="44.25" customHeight="1">
      <c r="A369" s="82"/>
      <c r="B369" s="110"/>
      <c r="C369" s="57"/>
      <c r="D369" s="71"/>
      <c r="E369" s="71"/>
      <c r="F369" s="112" t="s">
        <v>673</v>
      </c>
      <c r="G369" s="94" t="s">
        <v>227</v>
      </c>
      <c r="H369" s="95">
        <v>1</v>
      </c>
      <c r="I369" s="96" t="s">
        <v>255</v>
      </c>
      <c r="J369" s="119" t="s">
        <v>254</v>
      </c>
      <c r="K369" s="77"/>
      <c r="L369" s="77">
        <v>5000000</v>
      </c>
      <c r="M369" s="77"/>
      <c r="N369" s="77"/>
      <c r="O369" s="159"/>
      <c r="P369" s="77"/>
      <c r="Q369" s="78">
        <f t="shared" si="15"/>
        <v>5000000</v>
      </c>
      <c r="R369" s="57" t="s">
        <v>397</v>
      </c>
      <c r="S369" s="82" t="s">
        <v>250</v>
      </c>
      <c r="T369" s="114"/>
      <c r="U369" s="114"/>
    </row>
    <row r="370" spans="1:21" s="115" customFormat="1" ht="44.25" customHeight="1">
      <c r="A370" s="82"/>
      <c r="B370" s="110"/>
      <c r="C370" s="57"/>
      <c r="D370" s="71"/>
      <c r="E370" s="71"/>
      <c r="F370" s="112" t="s">
        <v>674</v>
      </c>
      <c r="G370" s="94" t="s">
        <v>675</v>
      </c>
      <c r="H370" s="95">
        <v>1</v>
      </c>
      <c r="I370" s="96" t="s">
        <v>255</v>
      </c>
      <c r="J370" s="119" t="s">
        <v>254</v>
      </c>
      <c r="K370" s="77"/>
      <c r="L370" s="77">
        <v>15000000</v>
      </c>
      <c r="M370" s="77"/>
      <c r="N370" s="77"/>
      <c r="O370" s="159"/>
      <c r="P370" s="77"/>
      <c r="Q370" s="78">
        <f t="shared" ref="Q370:Q433" si="21">SUM(K370:P370)</f>
        <v>15000000</v>
      </c>
      <c r="R370" s="57" t="s">
        <v>397</v>
      </c>
      <c r="S370" s="82" t="s">
        <v>250</v>
      </c>
      <c r="T370" s="114"/>
      <c r="U370" s="114"/>
    </row>
    <row r="371" spans="1:21" s="115" customFormat="1" ht="44.25" customHeight="1">
      <c r="A371" s="82"/>
      <c r="B371" s="110"/>
      <c r="C371" s="57"/>
      <c r="D371" s="71"/>
      <c r="E371" s="71"/>
      <c r="F371" s="112" t="s">
        <v>676</v>
      </c>
      <c r="G371" s="94" t="str">
        <f>G370</f>
        <v>ngalang"sari</v>
      </c>
      <c r="H371" s="95">
        <v>60</v>
      </c>
      <c r="I371" s="96" t="s">
        <v>41</v>
      </c>
      <c r="J371" s="119" t="s">
        <v>254</v>
      </c>
      <c r="K371" s="77"/>
      <c r="L371" s="77">
        <f>60*100000</f>
        <v>6000000</v>
      </c>
      <c r="M371" s="77"/>
      <c r="N371" s="77"/>
      <c r="O371" s="77"/>
      <c r="P371" s="77"/>
      <c r="Q371" s="78">
        <f t="shared" si="21"/>
        <v>6000000</v>
      </c>
      <c r="R371" s="57" t="s">
        <v>397</v>
      </c>
      <c r="S371" s="82" t="s">
        <v>250</v>
      </c>
      <c r="T371" s="114"/>
      <c r="U371" s="114"/>
    </row>
    <row r="372" spans="1:21" ht="54">
      <c r="A372" s="82"/>
      <c r="B372" s="110"/>
      <c r="C372" s="56" t="s">
        <v>34</v>
      </c>
      <c r="D372" s="160" t="s">
        <v>153</v>
      </c>
      <c r="E372" s="71"/>
      <c r="F372" s="112"/>
      <c r="G372" s="94"/>
      <c r="H372" s="95"/>
      <c r="I372" s="96"/>
      <c r="J372" s="119"/>
      <c r="K372" s="77"/>
      <c r="L372" s="77"/>
      <c r="M372" s="77"/>
      <c r="N372" s="77"/>
      <c r="O372" s="77"/>
      <c r="P372" s="77"/>
      <c r="Q372" s="78">
        <f t="shared" si="21"/>
        <v>0</v>
      </c>
      <c r="R372" s="155"/>
      <c r="S372" s="161"/>
      <c r="T372" s="130"/>
      <c r="U372" s="130"/>
    </row>
    <row r="373" spans="1:21" s="115" customFormat="1" ht="50.25" customHeight="1">
      <c r="A373" s="82"/>
      <c r="B373" s="110"/>
      <c r="C373" s="56"/>
      <c r="D373" s="111"/>
      <c r="E373" s="71">
        <v>1</v>
      </c>
      <c r="F373" s="133" t="s">
        <v>677</v>
      </c>
      <c r="G373" s="94"/>
      <c r="H373" s="95"/>
      <c r="I373" s="96"/>
      <c r="J373" s="119"/>
      <c r="K373" s="77"/>
      <c r="L373" s="77"/>
      <c r="M373" s="77"/>
      <c r="N373" s="77"/>
      <c r="O373" s="77"/>
      <c r="P373" s="77"/>
      <c r="Q373" s="78">
        <f t="shared" si="21"/>
        <v>0</v>
      </c>
      <c r="R373" s="57"/>
      <c r="S373" s="117"/>
      <c r="T373" s="114"/>
      <c r="U373" s="114"/>
    </row>
    <row r="374" spans="1:21" s="115" customFormat="1" ht="50.25" customHeight="1">
      <c r="A374" s="82"/>
      <c r="B374" s="110"/>
      <c r="C374" s="99"/>
      <c r="D374" s="111"/>
      <c r="E374" s="71"/>
      <c r="F374" s="112" t="s">
        <v>678</v>
      </c>
      <c r="G374" s="94" t="s">
        <v>272</v>
      </c>
      <c r="H374" s="95">
        <v>1</v>
      </c>
      <c r="I374" s="96" t="s">
        <v>293</v>
      </c>
      <c r="J374" s="119" t="s">
        <v>254</v>
      </c>
      <c r="K374" s="77">
        <v>1500000</v>
      </c>
      <c r="L374" s="77"/>
      <c r="M374" s="77"/>
      <c r="N374" s="77"/>
      <c r="O374" s="77"/>
      <c r="P374" s="77"/>
      <c r="Q374" s="78">
        <f t="shared" si="21"/>
        <v>1500000</v>
      </c>
      <c r="R374" s="57" t="s">
        <v>397</v>
      </c>
      <c r="S374" s="82" t="s">
        <v>250</v>
      </c>
      <c r="T374" s="114"/>
      <c r="U374" s="114"/>
    </row>
    <row r="375" spans="1:21" s="115" customFormat="1" ht="50.25" customHeight="1">
      <c r="A375" s="82"/>
      <c r="B375" s="110"/>
      <c r="C375" s="56"/>
      <c r="D375" s="111"/>
      <c r="E375" s="71"/>
      <c r="F375" s="112" t="s">
        <v>679</v>
      </c>
      <c r="G375" s="94" t="s">
        <v>272</v>
      </c>
      <c r="H375" s="95">
        <v>100</v>
      </c>
      <c r="I375" s="96" t="s">
        <v>680</v>
      </c>
      <c r="J375" s="119" t="s">
        <v>254</v>
      </c>
      <c r="K375" s="77">
        <f>H375*35000</f>
        <v>3500000</v>
      </c>
      <c r="L375" s="77"/>
      <c r="M375" s="77"/>
      <c r="N375" s="77"/>
      <c r="O375" s="77"/>
      <c r="P375" s="77"/>
      <c r="Q375" s="78">
        <f t="shared" si="21"/>
        <v>3500000</v>
      </c>
      <c r="R375" s="57" t="s">
        <v>397</v>
      </c>
      <c r="S375" s="82" t="s">
        <v>250</v>
      </c>
      <c r="T375" s="114"/>
      <c r="U375" s="114"/>
    </row>
    <row r="376" spans="1:21" s="115" customFormat="1" ht="50.25" customHeight="1">
      <c r="A376" s="82"/>
      <c r="B376" s="110"/>
      <c r="C376" s="56"/>
      <c r="D376" s="111"/>
      <c r="E376" s="71"/>
      <c r="F376" s="112" t="s">
        <v>681</v>
      </c>
      <c r="G376" s="94" t="s">
        <v>272</v>
      </c>
      <c r="H376" s="95">
        <v>500</v>
      </c>
      <c r="I376" s="96" t="s">
        <v>682</v>
      </c>
      <c r="J376" s="119" t="s">
        <v>254</v>
      </c>
      <c r="K376" s="77">
        <f>H376*5000</f>
        <v>2500000</v>
      </c>
      <c r="L376" s="77"/>
      <c r="M376" s="77"/>
      <c r="N376" s="77"/>
      <c r="O376" s="77"/>
      <c r="P376" s="77"/>
      <c r="Q376" s="78">
        <f t="shared" si="21"/>
        <v>2500000</v>
      </c>
      <c r="R376" s="57" t="s">
        <v>397</v>
      </c>
      <c r="S376" s="82" t="s">
        <v>250</v>
      </c>
      <c r="T376" s="114"/>
      <c r="U376" s="114"/>
    </row>
    <row r="377" spans="1:21" s="115" customFormat="1" ht="50.25" customHeight="1">
      <c r="A377" s="82"/>
      <c r="B377" s="110"/>
      <c r="C377" s="56"/>
      <c r="D377" s="111"/>
      <c r="E377" s="71"/>
      <c r="F377" s="141" t="s">
        <v>683</v>
      </c>
      <c r="G377" s="94"/>
      <c r="H377" s="95"/>
      <c r="I377" s="96"/>
      <c r="J377" s="119"/>
      <c r="K377" s="77"/>
      <c r="L377" s="77"/>
      <c r="M377" s="159"/>
      <c r="N377" s="159"/>
      <c r="O377" s="77"/>
      <c r="P377" s="77"/>
      <c r="Q377" s="78">
        <f t="shared" si="21"/>
        <v>0</v>
      </c>
      <c r="R377" s="57"/>
      <c r="S377" s="117"/>
      <c r="T377" s="114"/>
      <c r="U377" s="114"/>
    </row>
    <row r="378" spans="1:21" s="115" customFormat="1" ht="50.25" customHeight="1">
      <c r="A378" s="82"/>
      <c r="B378" s="110"/>
      <c r="C378" s="56"/>
      <c r="D378" s="111"/>
      <c r="E378" s="71"/>
      <c r="F378" s="112" t="s">
        <v>684</v>
      </c>
      <c r="G378" s="94" t="s">
        <v>264</v>
      </c>
      <c r="H378" s="95">
        <v>1000</v>
      </c>
      <c r="I378" s="96" t="s">
        <v>682</v>
      </c>
      <c r="J378" s="119" t="s">
        <v>254</v>
      </c>
      <c r="K378" s="77"/>
      <c r="L378" s="77">
        <f>H378*8500</f>
        <v>8500000</v>
      </c>
      <c r="M378" s="77"/>
      <c r="N378" s="77"/>
      <c r="O378" s="77"/>
      <c r="P378" s="77"/>
      <c r="Q378" s="78">
        <f t="shared" si="21"/>
        <v>8500000</v>
      </c>
      <c r="R378" s="57" t="s">
        <v>397</v>
      </c>
      <c r="S378" s="82" t="s">
        <v>250</v>
      </c>
      <c r="T378" s="114"/>
      <c r="U378" s="114"/>
    </row>
    <row r="379" spans="1:21" s="115" customFormat="1" ht="70.5" customHeight="1">
      <c r="A379" s="82"/>
      <c r="B379" s="110"/>
      <c r="C379" s="56"/>
      <c r="D379" s="111"/>
      <c r="E379" s="71">
        <v>1</v>
      </c>
      <c r="F379" s="133" t="s">
        <v>158</v>
      </c>
      <c r="G379" s="94"/>
      <c r="H379" s="95"/>
      <c r="I379" s="96"/>
      <c r="J379" s="119"/>
      <c r="K379" s="77"/>
      <c r="L379" s="77"/>
      <c r="M379" s="77"/>
      <c r="N379" s="77"/>
      <c r="O379" s="77"/>
      <c r="P379" s="77"/>
      <c r="Q379" s="78">
        <f t="shared" si="21"/>
        <v>0</v>
      </c>
      <c r="R379" s="57"/>
      <c r="S379" s="117"/>
      <c r="T379" s="114"/>
      <c r="U379" s="114"/>
    </row>
    <row r="380" spans="1:21" s="115" customFormat="1" ht="45.75" customHeight="1">
      <c r="A380" s="82"/>
      <c r="B380" s="110"/>
      <c r="C380" s="56"/>
      <c r="D380" s="111"/>
      <c r="E380" s="71"/>
      <c r="F380" s="112" t="s">
        <v>685</v>
      </c>
      <c r="G380" s="94" t="s">
        <v>656</v>
      </c>
      <c r="H380" s="95">
        <v>10</v>
      </c>
      <c r="I380" s="96" t="s">
        <v>41</v>
      </c>
      <c r="J380" s="119" t="s">
        <v>254</v>
      </c>
      <c r="K380" s="77">
        <f>H380*186000</f>
        <v>1860000</v>
      </c>
      <c r="L380" s="77"/>
      <c r="M380" s="77"/>
      <c r="N380" s="77"/>
      <c r="O380" s="77"/>
      <c r="P380" s="77"/>
      <c r="Q380" s="78">
        <f t="shared" si="21"/>
        <v>1860000</v>
      </c>
      <c r="R380" s="57" t="s">
        <v>397</v>
      </c>
      <c r="S380" s="82" t="s">
        <v>250</v>
      </c>
      <c r="T380" s="114"/>
      <c r="U380" s="114"/>
    </row>
    <row r="381" spans="1:21" s="115" customFormat="1" ht="45.75" customHeight="1">
      <c r="A381" s="82"/>
      <c r="B381" s="110"/>
      <c r="C381" s="56"/>
      <c r="D381" s="111"/>
      <c r="E381" s="71"/>
      <c r="F381" s="112" t="str">
        <f>F380</f>
        <v>Pengadaan Sarana Penerangan Jalan</v>
      </c>
      <c r="G381" s="94" t="s">
        <v>227</v>
      </c>
      <c r="H381" s="95">
        <v>21</v>
      </c>
      <c r="I381" s="96" t="s">
        <v>41</v>
      </c>
      <c r="J381" s="119" t="s">
        <v>254</v>
      </c>
      <c r="K381" s="77"/>
      <c r="L381" s="77">
        <f>H381*186000</f>
        <v>3906000</v>
      </c>
      <c r="M381" s="77"/>
      <c r="N381" s="77"/>
      <c r="O381" s="77"/>
      <c r="P381" s="77"/>
      <c r="Q381" s="78">
        <f t="shared" si="21"/>
        <v>3906000</v>
      </c>
      <c r="R381" s="57" t="s">
        <v>397</v>
      </c>
      <c r="S381" s="82" t="s">
        <v>250</v>
      </c>
      <c r="T381" s="114"/>
      <c r="U381" s="114"/>
    </row>
    <row r="382" spans="1:21" s="115" customFormat="1" ht="45.75" customHeight="1">
      <c r="A382" s="82"/>
      <c r="B382" s="110"/>
      <c r="C382" s="56"/>
      <c r="D382" s="111"/>
      <c r="E382" s="71"/>
      <c r="F382" s="112" t="str">
        <f t="shared" ref="F382:F384" si="22">F381</f>
        <v>Pengadaan Sarana Penerangan Jalan</v>
      </c>
      <c r="G382" s="94" t="s">
        <v>272</v>
      </c>
      <c r="H382" s="95">
        <v>8</v>
      </c>
      <c r="I382" s="96" t="s">
        <v>41</v>
      </c>
      <c r="J382" s="119" t="s">
        <v>254</v>
      </c>
      <c r="K382" s="77">
        <f t="shared" ref="K382:K387" si="23">H382*186000</f>
        <v>1488000</v>
      </c>
      <c r="L382" s="77"/>
      <c r="M382" s="77"/>
      <c r="N382" s="77"/>
      <c r="O382" s="77"/>
      <c r="P382" s="77"/>
      <c r="Q382" s="78">
        <f t="shared" si="21"/>
        <v>1488000</v>
      </c>
      <c r="R382" s="57" t="s">
        <v>397</v>
      </c>
      <c r="S382" s="82" t="s">
        <v>250</v>
      </c>
      <c r="T382" s="114"/>
      <c r="U382" s="114"/>
    </row>
    <row r="383" spans="1:21" s="115" customFormat="1" ht="45.75" customHeight="1">
      <c r="A383" s="82"/>
      <c r="B383" s="110"/>
      <c r="C383" s="56"/>
      <c r="D383" s="111"/>
      <c r="E383" s="71"/>
      <c r="F383" s="112" t="str">
        <f t="shared" si="22"/>
        <v>Pengadaan Sarana Penerangan Jalan</v>
      </c>
      <c r="G383" s="94" t="s">
        <v>265</v>
      </c>
      <c r="H383" s="95">
        <v>6</v>
      </c>
      <c r="I383" s="96" t="s">
        <v>41</v>
      </c>
      <c r="J383" s="119" t="s">
        <v>254</v>
      </c>
      <c r="K383" s="77"/>
      <c r="L383" s="77"/>
      <c r="M383" s="77">
        <f>H383*186000</f>
        <v>1116000</v>
      </c>
      <c r="N383" s="77"/>
      <c r="O383" s="77"/>
      <c r="P383" s="77"/>
      <c r="Q383" s="78">
        <f t="shared" si="21"/>
        <v>1116000</v>
      </c>
      <c r="R383" s="57" t="s">
        <v>397</v>
      </c>
      <c r="S383" s="82" t="s">
        <v>250</v>
      </c>
      <c r="T383" s="114"/>
      <c r="U383" s="114"/>
    </row>
    <row r="384" spans="1:21" s="115" customFormat="1" ht="45.75" customHeight="1">
      <c r="A384" s="82"/>
      <c r="B384" s="110"/>
      <c r="C384" s="56"/>
      <c r="D384" s="111"/>
      <c r="E384" s="71"/>
      <c r="F384" s="112" t="str">
        <f t="shared" si="22"/>
        <v>Pengadaan Sarana Penerangan Jalan</v>
      </c>
      <c r="G384" s="94" t="s">
        <v>264</v>
      </c>
      <c r="H384" s="95">
        <v>15</v>
      </c>
      <c r="I384" s="96" t="s">
        <v>41</v>
      </c>
      <c r="J384" s="119" t="s">
        <v>254</v>
      </c>
      <c r="K384" s="77">
        <f>15*186000</f>
        <v>2790000</v>
      </c>
      <c r="L384" s="77"/>
      <c r="M384" s="77"/>
      <c r="N384" s="77"/>
      <c r="O384" s="77"/>
      <c r="P384" s="77"/>
      <c r="Q384" s="78">
        <f t="shared" si="21"/>
        <v>2790000</v>
      </c>
      <c r="R384" s="57" t="s">
        <v>397</v>
      </c>
      <c r="S384" s="82" t="s">
        <v>250</v>
      </c>
      <c r="T384" s="114"/>
      <c r="U384" s="114"/>
    </row>
    <row r="385" spans="1:21" s="115" customFormat="1" ht="45.75" customHeight="1">
      <c r="A385" s="82"/>
      <c r="B385" s="110"/>
      <c r="C385" s="56"/>
      <c r="D385" s="111"/>
      <c r="E385" s="71"/>
      <c r="F385" s="112" t="s">
        <v>686</v>
      </c>
      <c r="G385" s="94" t="s">
        <v>687</v>
      </c>
      <c r="H385" s="95">
        <v>10</v>
      </c>
      <c r="I385" s="96" t="s">
        <v>41</v>
      </c>
      <c r="J385" s="119" t="s">
        <v>254</v>
      </c>
      <c r="K385" s="77">
        <f>10*186000</f>
        <v>1860000</v>
      </c>
      <c r="L385" s="77"/>
      <c r="M385" s="77"/>
      <c r="N385" s="77"/>
      <c r="O385" s="77"/>
      <c r="P385" s="77"/>
      <c r="Q385" s="78">
        <f t="shared" si="21"/>
        <v>1860000</v>
      </c>
      <c r="R385" s="57" t="s">
        <v>397</v>
      </c>
      <c r="S385" s="82" t="s">
        <v>250</v>
      </c>
      <c r="T385" s="114"/>
      <c r="U385" s="114"/>
    </row>
    <row r="386" spans="1:21" s="115" customFormat="1" ht="45.75" customHeight="1">
      <c r="A386" s="82"/>
      <c r="B386" s="110"/>
      <c r="C386" s="56"/>
      <c r="D386" s="111"/>
      <c r="E386" s="71"/>
      <c r="F386" s="112" t="str">
        <f>F383</f>
        <v>Pengadaan Sarana Penerangan Jalan</v>
      </c>
      <c r="G386" s="94" t="s">
        <v>271</v>
      </c>
      <c r="H386" s="95">
        <v>4</v>
      </c>
      <c r="I386" s="96" t="s">
        <v>41</v>
      </c>
      <c r="J386" s="119" t="s">
        <v>254</v>
      </c>
      <c r="K386" s="77">
        <f>4*186000</f>
        <v>744000</v>
      </c>
      <c r="L386" s="77"/>
      <c r="M386" s="77"/>
      <c r="N386" s="77"/>
      <c r="O386" s="77"/>
      <c r="P386" s="77"/>
      <c r="Q386" s="78">
        <f t="shared" si="21"/>
        <v>744000</v>
      </c>
      <c r="R386" s="57" t="s">
        <v>397</v>
      </c>
      <c r="S386" s="82" t="s">
        <v>250</v>
      </c>
      <c r="T386" s="114"/>
      <c r="U386" s="114"/>
    </row>
    <row r="387" spans="1:21" s="115" customFormat="1" ht="45.75" customHeight="1">
      <c r="A387" s="82"/>
      <c r="B387" s="110"/>
      <c r="C387" s="56"/>
      <c r="D387" s="111"/>
      <c r="E387" s="71"/>
      <c r="F387" s="112" t="str">
        <f>F384</f>
        <v>Pengadaan Sarana Penerangan Jalan</v>
      </c>
      <c r="G387" s="94" t="s">
        <v>437</v>
      </c>
      <c r="H387" s="95">
        <v>4</v>
      </c>
      <c r="I387" s="96" t="s">
        <v>41</v>
      </c>
      <c r="J387" s="119" t="s">
        <v>254</v>
      </c>
      <c r="K387" s="77">
        <f t="shared" si="23"/>
        <v>744000</v>
      </c>
      <c r="L387" s="77"/>
      <c r="M387" s="77"/>
      <c r="N387" s="77"/>
      <c r="O387" s="77"/>
      <c r="P387" s="77"/>
      <c r="Q387" s="78">
        <f t="shared" si="21"/>
        <v>744000</v>
      </c>
      <c r="R387" s="57" t="s">
        <v>397</v>
      </c>
      <c r="S387" s="82" t="s">
        <v>250</v>
      </c>
      <c r="T387" s="114"/>
      <c r="U387" s="114"/>
    </row>
    <row r="388" spans="1:21" s="115" customFormat="1" ht="45.75" customHeight="1">
      <c r="A388" s="82"/>
      <c r="B388" s="110"/>
      <c r="C388" s="56"/>
      <c r="D388" s="111"/>
      <c r="E388" s="71"/>
      <c r="F388" s="112" t="str">
        <f>F387</f>
        <v>Pengadaan Sarana Penerangan Jalan</v>
      </c>
      <c r="G388" s="94" t="s">
        <v>688</v>
      </c>
      <c r="H388" s="95">
        <v>8</v>
      </c>
      <c r="I388" s="96" t="s">
        <v>41</v>
      </c>
      <c r="J388" s="119" t="s">
        <v>254</v>
      </c>
      <c r="K388" s="77"/>
      <c r="L388" s="77"/>
      <c r="M388" s="77"/>
      <c r="N388" s="77"/>
      <c r="O388" s="77"/>
      <c r="P388" s="77">
        <f>H388*186000</f>
        <v>1488000</v>
      </c>
      <c r="Q388" s="78">
        <f t="shared" si="21"/>
        <v>1488000</v>
      </c>
      <c r="R388" s="57" t="s">
        <v>397</v>
      </c>
      <c r="S388" s="82" t="s">
        <v>250</v>
      </c>
      <c r="T388" s="114"/>
      <c r="U388" s="114"/>
    </row>
    <row r="389" spans="1:21" s="115" customFormat="1" ht="45.75" customHeight="1">
      <c r="A389" s="82"/>
      <c r="B389" s="110"/>
      <c r="C389" s="56"/>
      <c r="D389" s="111"/>
      <c r="E389" s="71"/>
      <c r="F389" s="112" t="str">
        <f>F388</f>
        <v>Pengadaan Sarana Penerangan Jalan</v>
      </c>
      <c r="G389" s="94" t="s">
        <v>269</v>
      </c>
      <c r="H389" s="95">
        <v>10</v>
      </c>
      <c r="I389" s="96" t="s">
        <v>41</v>
      </c>
      <c r="J389" s="119" t="s">
        <v>254</v>
      </c>
      <c r="K389" s="77"/>
      <c r="L389" s="77"/>
      <c r="M389" s="77"/>
      <c r="N389" s="77">
        <f>H389*186000</f>
        <v>1860000</v>
      </c>
      <c r="O389" s="77"/>
      <c r="P389" s="77"/>
      <c r="Q389" s="78">
        <f t="shared" si="21"/>
        <v>1860000</v>
      </c>
      <c r="R389" s="57" t="s">
        <v>397</v>
      </c>
      <c r="S389" s="82" t="s">
        <v>250</v>
      </c>
      <c r="T389" s="114"/>
      <c r="U389" s="114"/>
    </row>
    <row r="390" spans="1:21" s="115" customFormat="1" ht="45.75" customHeight="1">
      <c r="A390" s="82"/>
      <c r="B390" s="110"/>
      <c r="C390" s="56"/>
      <c r="D390" s="111"/>
      <c r="E390" s="71"/>
      <c r="F390" s="112" t="str">
        <f>F389</f>
        <v>Pengadaan Sarana Penerangan Jalan</v>
      </c>
      <c r="G390" s="94" t="s">
        <v>284</v>
      </c>
      <c r="H390" s="95">
        <v>7</v>
      </c>
      <c r="I390" s="96" t="s">
        <v>41</v>
      </c>
      <c r="J390" s="119" t="s">
        <v>254</v>
      </c>
      <c r="K390" s="77">
        <f>7*186000</f>
        <v>1302000</v>
      </c>
      <c r="L390" s="77"/>
      <c r="M390" s="77"/>
      <c r="N390" s="77"/>
      <c r="O390" s="77"/>
      <c r="P390" s="77"/>
      <c r="Q390" s="78">
        <f t="shared" si="21"/>
        <v>1302000</v>
      </c>
      <c r="R390" s="57" t="s">
        <v>397</v>
      </c>
      <c r="S390" s="82" t="s">
        <v>250</v>
      </c>
      <c r="T390" s="114"/>
      <c r="U390" s="114"/>
    </row>
    <row r="391" spans="1:21" s="115" customFormat="1" ht="45.75" customHeight="1">
      <c r="A391" s="82"/>
      <c r="B391" s="110"/>
      <c r="C391" s="56"/>
      <c r="D391" s="111"/>
      <c r="E391" s="71"/>
      <c r="F391" s="112" t="s">
        <v>689</v>
      </c>
      <c r="G391" s="94" t="s">
        <v>268</v>
      </c>
      <c r="H391" s="95">
        <v>4</v>
      </c>
      <c r="I391" s="96" t="s">
        <v>41</v>
      </c>
      <c r="J391" s="119" t="s">
        <v>254</v>
      </c>
      <c r="K391" s="77"/>
      <c r="L391" s="77"/>
      <c r="M391" s="77">
        <f>H391*186000</f>
        <v>744000</v>
      </c>
      <c r="N391" s="77"/>
      <c r="O391" s="77"/>
      <c r="P391" s="77"/>
      <c r="Q391" s="78">
        <f t="shared" si="21"/>
        <v>744000</v>
      </c>
      <c r="R391" s="57" t="s">
        <v>397</v>
      </c>
      <c r="S391" s="82" t="s">
        <v>250</v>
      </c>
      <c r="T391" s="114"/>
      <c r="U391" s="114"/>
    </row>
    <row r="392" spans="1:21" s="115" customFormat="1" ht="45.75" customHeight="1">
      <c r="A392" s="82"/>
      <c r="B392" s="110"/>
      <c r="C392" s="56"/>
      <c r="D392" s="111"/>
      <c r="E392" s="71"/>
      <c r="F392" s="112" t="s">
        <v>690</v>
      </c>
      <c r="G392" s="94" t="s">
        <v>268</v>
      </c>
      <c r="H392" s="95">
        <v>4</v>
      </c>
      <c r="I392" s="96" t="s">
        <v>41</v>
      </c>
      <c r="J392" s="119" t="s">
        <v>254</v>
      </c>
      <c r="K392" s="77">
        <f>H392*1400000</f>
        <v>5600000</v>
      </c>
      <c r="L392" s="77"/>
      <c r="M392" s="77"/>
      <c r="N392" s="77"/>
      <c r="O392" s="77"/>
      <c r="P392" s="77"/>
      <c r="Q392" s="78">
        <f t="shared" si="21"/>
        <v>5600000</v>
      </c>
      <c r="R392" s="57" t="s">
        <v>397</v>
      </c>
      <c r="S392" s="82" t="s">
        <v>250</v>
      </c>
      <c r="T392" s="114"/>
      <c r="U392" s="114"/>
    </row>
    <row r="393" spans="1:21" s="115" customFormat="1" ht="45.75" customHeight="1">
      <c r="A393" s="82"/>
      <c r="B393" s="110"/>
      <c r="C393" s="56"/>
      <c r="D393" s="111"/>
      <c r="E393" s="71"/>
      <c r="F393" s="112" t="s">
        <v>691</v>
      </c>
      <c r="G393" s="94" t="s">
        <v>268</v>
      </c>
      <c r="H393" s="95">
        <v>1</v>
      </c>
      <c r="I393" s="96" t="s">
        <v>41</v>
      </c>
      <c r="J393" s="119" t="s">
        <v>254</v>
      </c>
      <c r="K393" s="77">
        <f>H393*1400000</f>
        <v>1400000</v>
      </c>
      <c r="L393" s="77"/>
      <c r="M393" s="77"/>
      <c r="N393" s="77"/>
      <c r="O393" s="77"/>
      <c r="P393" s="77"/>
      <c r="Q393" s="78">
        <f t="shared" si="21"/>
        <v>1400000</v>
      </c>
      <c r="R393" s="57" t="s">
        <v>397</v>
      </c>
      <c r="S393" s="82" t="s">
        <v>250</v>
      </c>
      <c r="T393" s="114"/>
      <c r="U393" s="114"/>
    </row>
    <row r="394" spans="1:21" s="115" customFormat="1" ht="45.75" customHeight="1">
      <c r="A394" s="82"/>
      <c r="B394" s="110"/>
      <c r="C394" s="56"/>
      <c r="D394" s="111"/>
      <c r="E394" s="71"/>
      <c r="F394" s="112"/>
      <c r="G394" s="94"/>
      <c r="H394" s="95"/>
      <c r="I394" s="96"/>
      <c r="J394" s="119"/>
      <c r="K394" s="77"/>
      <c r="L394" s="77"/>
      <c r="M394" s="77"/>
      <c r="N394" s="77"/>
      <c r="O394" s="77"/>
      <c r="P394" s="77"/>
      <c r="Q394" s="78">
        <f t="shared" si="21"/>
        <v>0</v>
      </c>
      <c r="R394" s="57"/>
      <c r="S394" s="117"/>
      <c r="T394" s="114"/>
      <c r="U394" s="114"/>
    </row>
    <row r="395" spans="1:21" s="115" customFormat="1" ht="70.5" customHeight="1">
      <c r="A395" s="82"/>
      <c r="B395" s="110"/>
      <c r="C395" s="56"/>
      <c r="D395" s="111"/>
      <c r="E395" s="71"/>
      <c r="F395" s="133" t="s">
        <v>157</v>
      </c>
      <c r="G395" s="94"/>
      <c r="H395" s="95"/>
      <c r="I395" s="96"/>
      <c r="J395" s="119"/>
      <c r="K395" s="77"/>
      <c r="L395" s="77"/>
      <c r="M395" s="77"/>
      <c r="N395" s="77"/>
      <c r="O395" s="77"/>
      <c r="P395" s="77"/>
      <c r="Q395" s="78">
        <f t="shared" si="21"/>
        <v>0</v>
      </c>
      <c r="R395" s="57"/>
      <c r="S395" s="117"/>
      <c r="T395" s="114"/>
      <c r="U395" s="114"/>
    </row>
    <row r="396" spans="1:21" s="115" customFormat="1" ht="45.75" customHeight="1">
      <c r="A396" s="82"/>
      <c r="B396" s="110"/>
      <c r="C396" s="56"/>
      <c r="D396" s="111"/>
      <c r="E396" s="71"/>
      <c r="F396" s="162" t="s">
        <v>692</v>
      </c>
      <c r="G396" s="94" t="s">
        <v>656</v>
      </c>
      <c r="H396" s="95">
        <v>2</v>
      </c>
      <c r="I396" s="96" t="s">
        <v>255</v>
      </c>
      <c r="J396" s="119" t="s">
        <v>254</v>
      </c>
      <c r="K396" s="77"/>
      <c r="L396" s="77">
        <f>H396*500000</f>
        <v>1000000</v>
      </c>
      <c r="M396" s="77"/>
      <c r="N396" s="77"/>
      <c r="O396" s="77"/>
      <c r="P396" s="77"/>
      <c r="Q396" s="78">
        <f t="shared" si="21"/>
        <v>1000000</v>
      </c>
      <c r="R396" s="84" t="s">
        <v>397</v>
      </c>
      <c r="S396" s="82" t="s">
        <v>250</v>
      </c>
      <c r="T396" s="114"/>
      <c r="U396" s="114"/>
    </row>
    <row r="397" spans="1:21" s="115" customFormat="1" ht="45.75" customHeight="1">
      <c r="A397" s="82"/>
      <c r="B397" s="110"/>
      <c r="C397" s="56"/>
      <c r="D397" s="111"/>
      <c r="E397" s="71"/>
      <c r="F397" s="162" t="s">
        <v>692</v>
      </c>
      <c r="G397" s="94" t="s">
        <v>272</v>
      </c>
      <c r="H397" s="95">
        <v>1</v>
      </c>
      <c r="I397" s="96" t="s">
        <v>255</v>
      </c>
      <c r="J397" s="119" t="s">
        <v>254</v>
      </c>
      <c r="K397" s="77">
        <f t="shared" ref="K397:K400" si="24">H397*500000</f>
        <v>500000</v>
      </c>
      <c r="L397" s="77"/>
      <c r="M397" s="77"/>
      <c r="N397" s="77"/>
      <c r="O397" s="77"/>
      <c r="P397" s="77"/>
      <c r="Q397" s="78">
        <f t="shared" si="21"/>
        <v>500000</v>
      </c>
      <c r="R397" s="84" t="s">
        <v>397</v>
      </c>
      <c r="S397" s="82" t="s">
        <v>250</v>
      </c>
      <c r="T397" s="114"/>
      <c r="U397" s="114"/>
    </row>
    <row r="398" spans="1:21" s="115" customFormat="1" ht="45.75" customHeight="1">
      <c r="A398" s="82"/>
      <c r="B398" s="110"/>
      <c r="C398" s="56"/>
      <c r="D398" s="111"/>
      <c r="E398" s="71"/>
      <c r="F398" s="162" t="s">
        <v>692</v>
      </c>
      <c r="G398" s="93" t="s">
        <v>504</v>
      </c>
      <c r="H398" s="95">
        <v>1</v>
      </c>
      <c r="I398" s="96" t="s">
        <v>255</v>
      </c>
      <c r="J398" s="119" t="s">
        <v>254</v>
      </c>
      <c r="K398" s="77"/>
      <c r="L398" s="77"/>
      <c r="M398" s="77">
        <f>H398*500000</f>
        <v>500000</v>
      </c>
      <c r="N398" s="77"/>
      <c r="O398" s="77"/>
      <c r="P398" s="77"/>
      <c r="Q398" s="78">
        <f t="shared" si="21"/>
        <v>500000</v>
      </c>
      <c r="R398" s="84" t="s">
        <v>397</v>
      </c>
      <c r="S398" s="82" t="s">
        <v>250</v>
      </c>
      <c r="T398" s="114"/>
      <c r="U398" s="114"/>
    </row>
    <row r="399" spans="1:21" s="115" customFormat="1" ht="45.75" customHeight="1">
      <c r="A399" s="82"/>
      <c r="B399" s="110"/>
      <c r="C399" s="56"/>
      <c r="D399" s="111"/>
      <c r="E399" s="71"/>
      <c r="F399" s="162" t="s">
        <v>692</v>
      </c>
      <c r="G399" s="94" t="s">
        <v>271</v>
      </c>
      <c r="H399" s="95">
        <v>1</v>
      </c>
      <c r="I399" s="96" t="s">
        <v>255</v>
      </c>
      <c r="J399" s="119" t="s">
        <v>254</v>
      </c>
      <c r="K399" s="77">
        <f>H399*500000</f>
        <v>500000</v>
      </c>
      <c r="L399" s="77"/>
      <c r="M399" s="77"/>
      <c r="N399" s="77"/>
      <c r="O399" s="77"/>
      <c r="P399" s="77"/>
      <c r="Q399" s="78">
        <f t="shared" si="21"/>
        <v>500000</v>
      </c>
      <c r="R399" s="84" t="s">
        <v>397</v>
      </c>
      <c r="S399" s="82" t="s">
        <v>250</v>
      </c>
      <c r="T399" s="114"/>
      <c r="U399" s="114"/>
    </row>
    <row r="400" spans="1:21" s="115" customFormat="1" ht="45.75" customHeight="1">
      <c r="A400" s="82"/>
      <c r="B400" s="110"/>
      <c r="C400" s="56"/>
      <c r="D400" s="111"/>
      <c r="E400" s="71"/>
      <c r="F400" s="162" t="s">
        <v>692</v>
      </c>
      <c r="G400" s="94" t="s">
        <v>561</v>
      </c>
      <c r="H400" s="95">
        <v>1</v>
      </c>
      <c r="I400" s="96" t="s">
        <v>255</v>
      </c>
      <c r="J400" s="119" t="s">
        <v>254</v>
      </c>
      <c r="K400" s="77">
        <f t="shared" si="24"/>
        <v>500000</v>
      </c>
      <c r="L400" s="77"/>
      <c r="M400" s="77"/>
      <c r="N400" s="77"/>
      <c r="O400" s="77"/>
      <c r="P400" s="77"/>
      <c r="Q400" s="78">
        <f t="shared" si="21"/>
        <v>500000</v>
      </c>
      <c r="R400" s="84" t="s">
        <v>397</v>
      </c>
      <c r="S400" s="82" t="s">
        <v>250</v>
      </c>
      <c r="T400" s="114"/>
      <c r="U400" s="114"/>
    </row>
    <row r="401" spans="1:22" s="115" customFormat="1" ht="45.75" customHeight="1">
      <c r="A401" s="82"/>
      <c r="B401" s="110"/>
      <c r="C401" s="56"/>
      <c r="D401" s="111"/>
      <c r="E401" s="71"/>
      <c r="F401" s="133" t="s">
        <v>155</v>
      </c>
      <c r="G401" s="94"/>
      <c r="H401" s="95"/>
      <c r="I401" s="96"/>
      <c r="J401" s="119"/>
      <c r="K401" s="77"/>
      <c r="L401" s="159"/>
      <c r="M401" s="159"/>
      <c r="N401" s="159"/>
      <c r="O401" s="159"/>
      <c r="P401" s="159"/>
      <c r="Q401" s="78">
        <f t="shared" si="21"/>
        <v>0</v>
      </c>
      <c r="R401" s="57"/>
      <c r="S401" s="117"/>
      <c r="T401" s="114"/>
      <c r="U401" s="114"/>
    </row>
    <row r="402" spans="1:22" s="115" customFormat="1" ht="45.75" customHeight="1">
      <c r="A402" s="82"/>
      <c r="B402" s="110"/>
      <c r="C402" s="56"/>
      <c r="D402" s="111"/>
      <c r="E402" s="71"/>
      <c r="F402" s="112" t="s">
        <v>693</v>
      </c>
      <c r="G402" s="94" t="s">
        <v>694</v>
      </c>
      <c r="H402" s="95">
        <v>1</v>
      </c>
      <c r="I402" s="96" t="s">
        <v>41</v>
      </c>
      <c r="J402" s="119" t="s">
        <v>254</v>
      </c>
      <c r="K402" s="77"/>
      <c r="L402" s="77">
        <f>H402*290000</f>
        <v>290000</v>
      </c>
      <c r="M402" s="77"/>
      <c r="N402" s="77"/>
      <c r="O402" s="77"/>
      <c r="P402" s="77"/>
      <c r="Q402" s="78">
        <f t="shared" si="21"/>
        <v>290000</v>
      </c>
      <c r="R402" s="84" t="s">
        <v>397</v>
      </c>
      <c r="S402" s="82" t="s">
        <v>250</v>
      </c>
      <c r="T402" s="114"/>
      <c r="U402" s="114"/>
    </row>
    <row r="403" spans="1:22" s="115" customFormat="1" ht="45.75" customHeight="1">
      <c r="A403" s="82"/>
      <c r="B403" s="110"/>
      <c r="C403" s="56"/>
      <c r="D403" s="111"/>
      <c r="E403" s="71"/>
      <c r="F403" s="112" t="s">
        <v>693</v>
      </c>
      <c r="G403" s="93" t="s">
        <v>275</v>
      </c>
      <c r="H403" s="95">
        <v>2</v>
      </c>
      <c r="I403" s="96" t="s">
        <v>41</v>
      </c>
      <c r="J403" s="119" t="s">
        <v>254</v>
      </c>
      <c r="K403" s="77"/>
      <c r="L403" s="77"/>
      <c r="M403" s="77">
        <f>H403*290000</f>
        <v>580000</v>
      </c>
      <c r="N403" s="77"/>
      <c r="O403" s="77"/>
      <c r="P403" s="77"/>
      <c r="Q403" s="78">
        <f t="shared" si="21"/>
        <v>580000</v>
      </c>
      <c r="R403" s="84" t="s">
        <v>397</v>
      </c>
      <c r="S403" s="82" t="s">
        <v>250</v>
      </c>
      <c r="T403" s="114"/>
      <c r="U403" s="114"/>
    </row>
    <row r="404" spans="1:22" s="115" customFormat="1" ht="45.75" customHeight="1">
      <c r="A404" s="82"/>
      <c r="B404" s="110"/>
      <c r="C404" s="56"/>
      <c r="D404" s="111"/>
      <c r="E404" s="71"/>
      <c r="F404" s="112" t="s">
        <v>693</v>
      </c>
      <c r="G404" s="94" t="s">
        <v>268</v>
      </c>
      <c r="H404" s="95">
        <v>3</v>
      </c>
      <c r="I404" s="96" t="s">
        <v>41</v>
      </c>
      <c r="J404" s="119" t="s">
        <v>254</v>
      </c>
      <c r="K404" s="77"/>
      <c r="L404" s="77">
        <f>H404*290000</f>
        <v>870000</v>
      </c>
      <c r="M404" s="77"/>
      <c r="N404" s="77"/>
      <c r="O404" s="77"/>
      <c r="P404" s="77"/>
      <c r="Q404" s="78">
        <f t="shared" si="21"/>
        <v>870000</v>
      </c>
      <c r="R404" s="84" t="s">
        <v>397</v>
      </c>
      <c r="S404" s="82" t="s">
        <v>250</v>
      </c>
      <c r="T404" s="114"/>
      <c r="U404" s="114"/>
    </row>
    <row r="405" spans="1:22" s="115" customFormat="1" ht="51.75" customHeight="1">
      <c r="A405" s="82"/>
      <c r="B405" s="110"/>
      <c r="C405" s="56"/>
      <c r="D405" s="111"/>
      <c r="E405" s="71">
        <v>1</v>
      </c>
      <c r="F405" s="133" t="s">
        <v>161</v>
      </c>
      <c r="G405" s="94"/>
      <c r="H405" s="95"/>
      <c r="I405" s="96"/>
      <c r="J405" s="119"/>
      <c r="K405" s="77"/>
      <c r="L405" s="77"/>
      <c r="M405" s="77"/>
      <c r="N405" s="77"/>
      <c r="O405" s="77"/>
      <c r="P405" s="77"/>
      <c r="Q405" s="78">
        <f t="shared" si="21"/>
        <v>0</v>
      </c>
      <c r="R405" s="57"/>
      <c r="S405" s="117"/>
      <c r="T405" s="114"/>
      <c r="U405" s="114"/>
    </row>
    <row r="406" spans="1:22" s="116" customFormat="1" ht="39.950000000000003" customHeight="1">
      <c r="A406" s="82"/>
      <c r="B406" s="110"/>
      <c r="C406" s="56"/>
      <c r="D406" s="111"/>
      <c r="E406" s="71"/>
      <c r="F406" s="118" t="s">
        <v>695</v>
      </c>
      <c r="G406" s="94" t="s">
        <v>696</v>
      </c>
      <c r="H406" s="95">
        <v>1</v>
      </c>
      <c r="I406" s="96" t="s">
        <v>255</v>
      </c>
      <c r="J406" s="119" t="s">
        <v>697</v>
      </c>
      <c r="K406" s="77">
        <v>250000000</v>
      </c>
      <c r="L406" s="77">
        <v>250000000</v>
      </c>
      <c r="M406" s="77">
        <v>250000000</v>
      </c>
      <c r="N406" s="77">
        <v>250000000</v>
      </c>
      <c r="O406" s="77">
        <v>250000000</v>
      </c>
      <c r="P406" s="77">
        <v>250000000</v>
      </c>
      <c r="Q406" s="78">
        <f t="shared" si="21"/>
        <v>1500000000</v>
      </c>
      <c r="R406" s="57" t="s">
        <v>698</v>
      </c>
      <c r="S406" s="82" t="s">
        <v>250</v>
      </c>
      <c r="T406" s="114"/>
      <c r="U406" s="114"/>
      <c r="V406" s="163"/>
    </row>
    <row r="407" spans="1:22" s="116" customFormat="1" ht="39.950000000000003" customHeight="1">
      <c r="A407" s="82"/>
      <c r="B407" s="110"/>
      <c r="C407" s="56"/>
      <c r="D407" s="111"/>
      <c r="E407" s="71"/>
      <c r="F407" s="118" t="s">
        <v>643</v>
      </c>
      <c r="G407" s="94" t="s">
        <v>361</v>
      </c>
      <c r="H407" s="95">
        <v>1</v>
      </c>
      <c r="I407" s="96" t="s">
        <v>255</v>
      </c>
      <c r="J407" s="119" t="s">
        <v>697</v>
      </c>
      <c r="K407" s="77"/>
      <c r="L407" s="77">
        <v>250000000</v>
      </c>
      <c r="M407" s="77"/>
      <c r="N407" s="77">
        <v>250000000</v>
      </c>
      <c r="O407" s="77"/>
      <c r="P407" s="77">
        <v>250000000</v>
      </c>
      <c r="Q407" s="78">
        <f t="shared" si="21"/>
        <v>750000000</v>
      </c>
      <c r="R407" s="57" t="s">
        <v>577</v>
      </c>
      <c r="S407" s="82" t="s">
        <v>250</v>
      </c>
      <c r="T407" s="114"/>
      <c r="U407" s="114"/>
      <c r="V407" s="163"/>
    </row>
    <row r="408" spans="1:22" s="116" customFormat="1" ht="39.950000000000003" customHeight="1">
      <c r="A408" s="82"/>
      <c r="B408" s="110"/>
      <c r="C408" s="56"/>
      <c r="D408" s="111"/>
      <c r="E408" s="71"/>
      <c r="F408" s="118" t="s">
        <v>699</v>
      </c>
      <c r="G408" s="94" t="s">
        <v>227</v>
      </c>
      <c r="H408" s="95">
        <v>1</v>
      </c>
      <c r="I408" s="96" t="s">
        <v>255</v>
      </c>
      <c r="J408" s="119" t="s">
        <v>697</v>
      </c>
      <c r="K408" s="77"/>
      <c r="L408" s="77">
        <v>65000000</v>
      </c>
      <c r="M408" s="77">
        <v>65000000</v>
      </c>
      <c r="N408" s="77">
        <v>65000000</v>
      </c>
      <c r="O408" s="77">
        <v>65000000</v>
      </c>
      <c r="P408" s="77">
        <v>65000000</v>
      </c>
      <c r="Q408" s="78">
        <f t="shared" si="21"/>
        <v>325000000</v>
      </c>
      <c r="R408" s="57" t="s">
        <v>577</v>
      </c>
      <c r="S408" s="82" t="s">
        <v>250</v>
      </c>
      <c r="T408" s="114"/>
      <c r="U408" s="114"/>
      <c r="V408" s="163"/>
    </row>
    <row r="409" spans="1:22" s="127" customFormat="1" ht="45" customHeight="1">
      <c r="A409" s="672" t="s">
        <v>700</v>
      </c>
      <c r="B409" s="673"/>
      <c r="C409" s="673"/>
      <c r="D409" s="674"/>
      <c r="E409" s="164"/>
      <c r="F409" s="165"/>
      <c r="G409" s="166"/>
      <c r="H409" s="167"/>
      <c r="I409" s="165"/>
      <c r="J409" s="168"/>
      <c r="K409" s="123"/>
      <c r="L409" s="123"/>
      <c r="M409" s="123"/>
      <c r="N409" s="123"/>
      <c r="O409" s="123"/>
      <c r="P409" s="123"/>
      <c r="Q409" s="78"/>
      <c r="R409" s="124"/>
      <c r="S409" s="125"/>
      <c r="T409" s="126"/>
      <c r="U409" s="126"/>
    </row>
    <row r="410" spans="1:22" s="115" customFormat="1" ht="103.5" customHeight="1">
      <c r="A410" s="67">
        <v>3</v>
      </c>
      <c r="B410" s="100" t="s">
        <v>701</v>
      </c>
      <c r="C410" s="169"/>
      <c r="D410" s="72" t="s">
        <v>164</v>
      </c>
      <c r="E410" s="71">
        <v>1</v>
      </c>
      <c r="F410" s="141" t="s">
        <v>173</v>
      </c>
      <c r="G410" s="94"/>
      <c r="H410" s="95"/>
      <c r="I410" s="96"/>
      <c r="J410" s="119"/>
      <c r="K410" s="105"/>
      <c r="L410" s="105"/>
      <c r="M410" s="105"/>
      <c r="N410" s="105"/>
      <c r="O410" s="105"/>
      <c r="P410" s="105"/>
      <c r="Q410" s="78">
        <f t="shared" si="21"/>
        <v>0</v>
      </c>
      <c r="R410" s="57"/>
      <c r="S410" s="117"/>
      <c r="T410" s="114"/>
      <c r="U410" s="114"/>
    </row>
    <row r="411" spans="1:22" s="115" customFormat="1" ht="45.75" customHeight="1">
      <c r="A411" s="82"/>
      <c r="B411" s="110"/>
      <c r="C411" s="169"/>
      <c r="D411" s="128"/>
      <c r="E411" s="71"/>
      <c r="F411" s="93" t="s">
        <v>173</v>
      </c>
      <c r="G411" s="94" t="s">
        <v>258</v>
      </c>
      <c r="H411" s="95">
        <v>28</v>
      </c>
      <c r="I411" s="96" t="s">
        <v>702</v>
      </c>
      <c r="J411" s="119" t="s">
        <v>294</v>
      </c>
      <c r="K411" s="77"/>
      <c r="L411" s="77"/>
      <c r="M411" s="77">
        <f>28*404600</f>
        <v>11328800</v>
      </c>
      <c r="N411" s="77"/>
      <c r="O411" s="77"/>
      <c r="P411" s="77"/>
      <c r="Q411" s="78">
        <f t="shared" si="21"/>
        <v>11328800</v>
      </c>
      <c r="R411" s="57" t="s">
        <v>31</v>
      </c>
      <c r="S411" s="82" t="s">
        <v>250</v>
      </c>
      <c r="T411" s="114"/>
      <c r="U411" s="114"/>
    </row>
    <row r="412" spans="1:22" s="115" customFormat="1" ht="45.75" customHeight="1">
      <c r="A412" s="82"/>
      <c r="B412" s="110"/>
      <c r="C412" s="169"/>
      <c r="D412" s="128"/>
      <c r="E412" s="71"/>
      <c r="F412" s="133" t="s">
        <v>170</v>
      </c>
      <c r="G412" s="94"/>
      <c r="H412" s="95"/>
      <c r="I412" s="96"/>
      <c r="J412" s="119"/>
      <c r="K412" s="105"/>
      <c r="L412" s="77"/>
      <c r="M412" s="77"/>
      <c r="N412" s="77"/>
      <c r="O412" s="77"/>
      <c r="P412" s="77"/>
      <c r="Q412" s="78">
        <f t="shared" si="21"/>
        <v>0</v>
      </c>
      <c r="R412" s="57"/>
      <c r="S412" s="117"/>
      <c r="T412" s="114"/>
      <c r="U412" s="114"/>
    </row>
    <row r="413" spans="1:22" s="115" customFormat="1" ht="45.75" customHeight="1">
      <c r="A413" s="82"/>
      <c r="B413" s="110"/>
      <c r="C413" s="169"/>
      <c r="D413" s="128"/>
      <c r="E413" s="71"/>
      <c r="F413" s="93" t="s">
        <v>703</v>
      </c>
      <c r="G413" s="94" t="s">
        <v>262</v>
      </c>
      <c r="H413" s="95">
        <v>64</v>
      </c>
      <c r="I413" s="96" t="s">
        <v>255</v>
      </c>
      <c r="J413" s="119" t="s">
        <v>254</v>
      </c>
      <c r="K413" s="77">
        <v>5000000</v>
      </c>
      <c r="L413" s="77">
        <v>5000000</v>
      </c>
      <c r="M413" s="77">
        <v>5000000</v>
      </c>
      <c r="N413" s="77">
        <v>5000000</v>
      </c>
      <c r="O413" s="77">
        <v>5000000</v>
      </c>
      <c r="P413" s="77">
        <v>5000000</v>
      </c>
      <c r="Q413" s="78">
        <f t="shared" si="21"/>
        <v>30000000</v>
      </c>
      <c r="R413" s="57" t="s">
        <v>400</v>
      </c>
      <c r="S413" s="82" t="s">
        <v>250</v>
      </c>
      <c r="T413" s="114"/>
      <c r="U413" s="114"/>
    </row>
    <row r="414" spans="1:22" s="115" customFormat="1" ht="45.75" customHeight="1">
      <c r="A414" s="82"/>
      <c r="B414" s="110"/>
      <c r="C414" s="169"/>
      <c r="D414" s="128"/>
      <c r="E414" s="71"/>
      <c r="F414" s="133" t="s">
        <v>165</v>
      </c>
      <c r="G414" s="94"/>
      <c r="H414" s="95"/>
      <c r="I414" s="96"/>
      <c r="J414" s="119"/>
      <c r="K414" s="105"/>
      <c r="L414" s="77"/>
      <c r="M414" s="77"/>
      <c r="N414" s="77"/>
      <c r="O414" s="77"/>
      <c r="P414" s="77"/>
      <c r="Q414" s="78">
        <f t="shared" si="21"/>
        <v>0</v>
      </c>
      <c r="R414" s="57"/>
      <c r="S414" s="117"/>
      <c r="T414" s="114"/>
      <c r="U414" s="114"/>
    </row>
    <row r="415" spans="1:22" s="115" customFormat="1" ht="45.75" customHeight="1">
      <c r="A415" s="82"/>
      <c r="B415" s="110"/>
      <c r="C415" s="169"/>
      <c r="D415" s="128"/>
      <c r="E415" s="71"/>
      <c r="F415" s="93" t="s">
        <v>704</v>
      </c>
      <c r="G415" s="94" t="s">
        <v>264</v>
      </c>
      <c r="H415" s="95">
        <v>3</v>
      </c>
      <c r="I415" s="96" t="s">
        <v>27</v>
      </c>
      <c r="J415" s="119" t="s">
        <v>254</v>
      </c>
      <c r="K415" s="77"/>
      <c r="L415" s="77">
        <f>H415*5000000</f>
        <v>15000000</v>
      </c>
      <c r="M415" s="77"/>
      <c r="N415" s="77"/>
      <c r="O415" s="77"/>
      <c r="P415" s="77"/>
      <c r="Q415" s="78">
        <f t="shared" si="21"/>
        <v>15000000</v>
      </c>
      <c r="R415" s="57" t="s">
        <v>400</v>
      </c>
      <c r="S415" s="82" t="s">
        <v>250</v>
      </c>
      <c r="T415" s="114"/>
      <c r="U415" s="114"/>
    </row>
    <row r="416" spans="1:22" s="115" customFormat="1" ht="45.75" customHeight="1">
      <c r="A416" s="82"/>
      <c r="B416" s="110"/>
      <c r="C416" s="169"/>
      <c r="D416" s="128"/>
      <c r="E416" s="71"/>
      <c r="F416" s="93" t="s">
        <v>704</v>
      </c>
      <c r="G416" s="94" t="s">
        <v>267</v>
      </c>
      <c r="H416" s="95">
        <v>4</v>
      </c>
      <c r="I416" s="71" t="s">
        <v>27</v>
      </c>
      <c r="J416" s="119" t="s">
        <v>254</v>
      </c>
      <c r="K416" s="77">
        <f>H416*5000000</f>
        <v>20000000</v>
      </c>
      <c r="L416" s="77"/>
      <c r="M416" s="77"/>
      <c r="N416" s="77"/>
      <c r="O416" s="77"/>
      <c r="P416" s="77"/>
      <c r="Q416" s="78">
        <f t="shared" si="21"/>
        <v>20000000</v>
      </c>
      <c r="R416" s="57" t="s">
        <v>400</v>
      </c>
      <c r="S416" s="82" t="s">
        <v>250</v>
      </c>
      <c r="T416" s="114"/>
      <c r="U416" s="114"/>
    </row>
    <row r="417" spans="1:21" s="115" customFormat="1" ht="45.75" customHeight="1">
      <c r="A417" s="82"/>
      <c r="B417" s="110"/>
      <c r="C417" s="169"/>
      <c r="D417" s="128"/>
      <c r="E417" s="71"/>
      <c r="F417" s="93" t="s">
        <v>704</v>
      </c>
      <c r="G417" s="94" t="s">
        <v>656</v>
      </c>
      <c r="H417" s="95">
        <v>2</v>
      </c>
      <c r="I417" s="71" t="s">
        <v>41</v>
      </c>
      <c r="J417" s="119" t="s">
        <v>254</v>
      </c>
      <c r="K417" s="77"/>
      <c r="L417" s="77"/>
      <c r="M417" s="77">
        <f>H418*5000000</f>
        <v>15000000</v>
      </c>
      <c r="N417" s="77"/>
      <c r="O417" s="77"/>
      <c r="P417" s="77"/>
      <c r="Q417" s="78">
        <f t="shared" si="21"/>
        <v>15000000</v>
      </c>
      <c r="R417" s="57" t="s">
        <v>400</v>
      </c>
      <c r="S417" s="82" t="s">
        <v>250</v>
      </c>
      <c r="T417" s="114"/>
      <c r="U417" s="114"/>
    </row>
    <row r="418" spans="1:21" s="115" customFormat="1" ht="45.75" customHeight="1">
      <c r="A418" s="82"/>
      <c r="B418" s="110"/>
      <c r="C418" s="169"/>
      <c r="D418" s="128"/>
      <c r="E418" s="71"/>
      <c r="F418" s="93" t="s">
        <v>705</v>
      </c>
      <c r="G418" s="94" t="s">
        <v>268</v>
      </c>
      <c r="H418" s="95">
        <v>3</v>
      </c>
      <c r="I418" s="71" t="s">
        <v>41</v>
      </c>
      <c r="J418" s="119" t="s">
        <v>254</v>
      </c>
      <c r="K418" s="77"/>
      <c r="L418" s="77">
        <f>H418*5000000</f>
        <v>15000000</v>
      </c>
      <c r="M418" s="77"/>
      <c r="N418" s="77"/>
      <c r="O418" s="77"/>
      <c r="P418" s="77"/>
      <c r="Q418" s="78">
        <f t="shared" si="21"/>
        <v>15000000</v>
      </c>
      <c r="R418" s="57" t="s">
        <v>400</v>
      </c>
      <c r="S418" s="82" t="s">
        <v>250</v>
      </c>
      <c r="T418" s="114"/>
      <c r="U418" s="114"/>
    </row>
    <row r="419" spans="1:21" s="115" customFormat="1" ht="55.5" customHeight="1">
      <c r="A419" s="82"/>
      <c r="B419" s="110"/>
      <c r="C419" s="169"/>
      <c r="D419" s="128"/>
      <c r="E419" s="71">
        <v>4</v>
      </c>
      <c r="F419" s="133" t="s">
        <v>167</v>
      </c>
      <c r="G419" s="94"/>
      <c r="H419" s="95"/>
      <c r="I419" s="96"/>
      <c r="J419" s="119"/>
      <c r="K419" s="77"/>
      <c r="L419" s="105"/>
      <c r="M419" s="77"/>
      <c r="N419" s="77"/>
      <c r="O419" s="77"/>
      <c r="P419" s="77"/>
      <c r="Q419" s="78">
        <f t="shared" si="21"/>
        <v>0</v>
      </c>
      <c r="R419" s="57"/>
      <c r="S419" s="117"/>
      <c r="T419" s="114"/>
      <c r="U419" s="114"/>
    </row>
    <row r="420" spans="1:21" s="115" customFormat="1" ht="45.75" customHeight="1">
      <c r="A420" s="82"/>
      <c r="B420" s="110"/>
      <c r="C420" s="169"/>
      <c r="D420" s="128"/>
      <c r="E420" s="71"/>
      <c r="F420" s="93" t="s">
        <v>706</v>
      </c>
      <c r="G420" s="94" t="s">
        <v>258</v>
      </c>
      <c r="H420" s="95">
        <v>28</v>
      </c>
      <c r="I420" s="96" t="s">
        <v>60</v>
      </c>
      <c r="J420" s="119" t="s">
        <v>294</v>
      </c>
      <c r="K420" s="77">
        <f>H420*400000</f>
        <v>11200000</v>
      </c>
      <c r="L420" s="77">
        <f>K420</f>
        <v>11200000</v>
      </c>
      <c r="M420" s="77">
        <f t="shared" ref="M420:P421" si="25">L420</f>
        <v>11200000</v>
      </c>
      <c r="N420" s="77">
        <f t="shared" si="25"/>
        <v>11200000</v>
      </c>
      <c r="O420" s="77">
        <f t="shared" si="25"/>
        <v>11200000</v>
      </c>
      <c r="P420" s="77">
        <f t="shared" si="25"/>
        <v>11200000</v>
      </c>
      <c r="Q420" s="78">
        <f t="shared" si="21"/>
        <v>67200000</v>
      </c>
      <c r="R420" s="57" t="s">
        <v>9</v>
      </c>
      <c r="S420" s="82" t="s">
        <v>250</v>
      </c>
      <c r="T420" s="114"/>
      <c r="U420" s="114"/>
    </row>
    <row r="421" spans="1:21" s="115" customFormat="1" ht="45.75" customHeight="1">
      <c r="A421" s="82"/>
      <c r="B421" s="110"/>
      <c r="C421" s="169"/>
      <c r="D421" s="128"/>
      <c r="E421" s="71"/>
      <c r="F421" s="93" t="s">
        <v>707</v>
      </c>
      <c r="G421" s="94" t="s">
        <v>258</v>
      </c>
      <c r="H421" s="95">
        <v>28</v>
      </c>
      <c r="I421" s="96" t="s">
        <v>60</v>
      </c>
      <c r="J421" s="119" t="s">
        <v>294</v>
      </c>
      <c r="K421" s="77">
        <f>H421*150000</f>
        <v>4200000</v>
      </c>
      <c r="L421" s="77">
        <f>K421</f>
        <v>4200000</v>
      </c>
      <c r="M421" s="77">
        <f t="shared" si="25"/>
        <v>4200000</v>
      </c>
      <c r="N421" s="77">
        <f t="shared" si="25"/>
        <v>4200000</v>
      </c>
      <c r="O421" s="77">
        <f t="shared" si="25"/>
        <v>4200000</v>
      </c>
      <c r="P421" s="77">
        <f t="shared" si="25"/>
        <v>4200000</v>
      </c>
      <c r="Q421" s="78">
        <f t="shared" si="21"/>
        <v>25200000</v>
      </c>
      <c r="R421" s="57" t="s">
        <v>9</v>
      </c>
      <c r="S421" s="82" t="s">
        <v>250</v>
      </c>
      <c r="T421" s="114"/>
      <c r="U421" s="114"/>
    </row>
    <row r="422" spans="1:21" s="115" customFormat="1" ht="72" customHeight="1">
      <c r="A422" s="82"/>
      <c r="B422" s="110"/>
      <c r="C422" s="169"/>
      <c r="D422" s="128"/>
      <c r="E422" s="71"/>
      <c r="F422" s="133" t="s">
        <v>169</v>
      </c>
      <c r="G422" s="94"/>
      <c r="H422" s="95"/>
      <c r="I422" s="96"/>
      <c r="J422" s="119"/>
      <c r="K422" s="77"/>
      <c r="L422" s="77"/>
      <c r="M422" s="105"/>
      <c r="N422" s="77"/>
      <c r="O422" s="77"/>
      <c r="P422" s="77"/>
      <c r="Q422" s="78">
        <f t="shared" si="21"/>
        <v>0</v>
      </c>
      <c r="R422" s="57"/>
      <c r="S422" s="117"/>
      <c r="T422" s="114"/>
      <c r="U422" s="114"/>
    </row>
    <row r="423" spans="1:21" s="115" customFormat="1" ht="45.75" customHeight="1">
      <c r="A423" s="82"/>
      <c r="B423" s="110"/>
      <c r="C423" s="169"/>
      <c r="D423" s="128"/>
      <c r="E423" s="71"/>
      <c r="F423" s="93" t="s">
        <v>708</v>
      </c>
      <c r="G423" s="94" t="s">
        <v>258</v>
      </c>
      <c r="H423" s="95">
        <v>64</v>
      </c>
      <c r="I423" s="96" t="s">
        <v>255</v>
      </c>
      <c r="J423" s="119" t="s">
        <v>709</v>
      </c>
      <c r="K423" s="77"/>
      <c r="L423" s="77">
        <f>64*120000</f>
        <v>7680000</v>
      </c>
      <c r="M423" s="77"/>
      <c r="N423" s="77">
        <f>64*120000</f>
        <v>7680000</v>
      </c>
      <c r="O423" s="77"/>
      <c r="P423" s="77">
        <f>64*120000</f>
        <v>7680000</v>
      </c>
      <c r="Q423" s="78">
        <f t="shared" si="21"/>
        <v>23040000</v>
      </c>
      <c r="R423" s="57" t="s">
        <v>31</v>
      </c>
      <c r="S423" s="82" t="s">
        <v>250</v>
      </c>
      <c r="T423" s="114"/>
      <c r="U423" s="114"/>
    </row>
    <row r="424" spans="1:21" s="115" customFormat="1" ht="45.75" customHeight="1">
      <c r="A424" s="82"/>
      <c r="B424" s="110"/>
      <c r="C424" s="169"/>
      <c r="D424" s="128"/>
      <c r="E424" s="71"/>
      <c r="F424" s="133" t="s">
        <v>710</v>
      </c>
      <c r="G424" s="94"/>
      <c r="H424" s="95"/>
      <c r="I424" s="96"/>
      <c r="J424" s="119"/>
      <c r="K424" s="77"/>
      <c r="L424" s="77"/>
      <c r="M424" s="105"/>
      <c r="N424" s="77"/>
      <c r="O424" s="77"/>
      <c r="P424" s="77"/>
      <c r="Q424" s="78">
        <f t="shared" si="21"/>
        <v>0</v>
      </c>
      <c r="R424" s="57"/>
      <c r="S424" s="117"/>
      <c r="T424" s="114"/>
      <c r="U424" s="114"/>
    </row>
    <row r="425" spans="1:21" s="115" customFormat="1" ht="45.75" customHeight="1">
      <c r="A425" s="82"/>
      <c r="B425" s="110"/>
      <c r="C425" s="169"/>
      <c r="D425" s="128"/>
      <c r="E425" s="71"/>
      <c r="F425" s="93" t="s">
        <v>710</v>
      </c>
      <c r="G425" s="94" t="s">
        <v>262</v>
      </c>
      <c r="H425" s="95">
        <v>6</v>
      </c>
      <c r="I425" s="96" t="s">
        <v>711</v>
      </c>
      <c r="J425" s="85" t="s">
        <v>254</v>
      </c>
      <c r="K425" s="77">
        <v>15000000</v>
      </c>
      <c r="L425" s="77">
        <v>15000000</v>
      </c>
      <c r="M425" s="77">
        <v>15000000</v>
      </c>
      <c r="N425" s="77">
        <v>15000000</v>
      </c>
      <c r="O425" s="77">
        <v>15000000</v>
      </c>
      <c r="P425" s="77">
        <v>15000000</v>
      </c>
      <c r="Q425" s="78">
        <f t="shared" si="21"/>
        <v>90000000</v>
      </c>
      <c r="R425" s="57" t="s">
        <v>31</v>
      </c>
      <c r="S425" s="82" t="s">
        <v>250</v>
      </c>
      <c r="T425" s="114"/>
      <c r="U425" s="114"/>
    </row>
    <row r="426" spans="1:21" s="115" customFormat="1" ht="45.75" customHeight="1">
      <c r="A426" s="82"/>
      <c r="B426" s="110"/>
      <c r="C426" s="169"/>
      <c r="D426" s="128"/>
      <c r="E426" s="71"/>
      <c r="F426" s="133" t="s">
        <v>168</v>
      </c>
      <c r="G426" s="94"/>
      <c r="H426" s="95"/>
      <c r="I426" s="96"/>
      <c r="J426" s="119"/>
      <c r="K426" s="77"/>
      <c r="L426" s="77"/>
      <c r="M426" s="105"/>
      <c r="N426" s="77"/>
      <c r="O426" s="77"/>
      <c r="P426" s="77"/>
      <c r="Q426" s="78">
        <f t="shared" si="21"/>
        <v>0</v>
      </c>
      <c r="R426" s="57"/>
      <c r="S426" s="117"/>
      <c r="T426" s="114"/>
      <c r="U426" s="114"/>
    </row>
    <row r="427" spans="1:21" s="115" customFormat="1" ht="45.75" customHeight="1">
      <c r="A427" s="82"/>
      <c r="B427" s="110"/>
      <c r="C427" s="169"/>
      <c r="D427" s="128"/>
      <c r="E427" s="71"/>
      <c r="F427" s="93" t="s">
        <v>712</v>
      </c>
      <c r="G427" s="94" t="s">
        <v>621</v>
      </c>
      <c r="H427" s="95"/>
      <c r="I427" s="96"/>
      <c r="J427" s="119" t="s">
        <v>254</v>
      </c>
      <c r="K427" s="77">
        <v>2000000</v>
      </c>
      <c r="L427" s="77">
        <v>2000000</v>
      </c>
      <c r="M427" s="77">
        <v>2000000</v>
      </c>
      <c r="N427" s="77">
        <v>2000000</v>
      </c>
      <c r="O427" s="77">
        <v>2000000</v>
      </c>
      <c r="P427" s="77">
        <v>2000000</v>
      </c>
      <c r="Q427" s="78">
        <f t="shared" si="21"/>
        <v>12000000</v>
      </c>
      <c r="R427" s="57" t="s">
        <v>21</v>
      </c>
      <c r="S427" s="82" t="s">
        <v>250</v>
      </c>
      <c r="T427" s="114"/>
      <c r="U427" s="114"/>
    </row>
    <row r="428" spans="1:21" s="115" customFormat="1" ht="45.75" customHeight="1">
      <c r="A428" s="82"/>
      <c r="B428" s="110"/>
      <c r="C428" s="169"/>
      <c r="D428" s="128"/>
      <c r="E428" s="71"/>
      <c r="F428" s="93" t="s">
        <v>713</v>
      </c>
      <c r="G428" s="94" t="s">
        <v>227</v>
      </c>
      <c r="H428" s="95"/>
      <c r="I428" s="96"/>
      <c r="J428" s="119" t="s">
        <v>254</v>
      </c>
      <c r="K428" s="77">
        <v>2000000</v>
      </c>
      <c r="L428" s="77">
        <v>2000000</v>
      </c>
      <c r="M428" s="77">
        <v>2000000</v>
      </c>
      <c r="N428" s="77">
        <v>2000000</v>
      </c>
      <c r="O428" s="77">
        <v>2000000</v>
      </c>
      <c r="P428" s="77">
        <v>2000000</v>
      </c>
      <c r="Q428" s="78">
        <f t="shared" si="21"/>
        <v>12000000</v>
      </c>
      <c r="R428" s="57" t="s">
        <v>21</v>
      </c>
      <c r="S428" s="82" t="s">
        <v>250</v>
      </c>
      <c r="T428" s="114"/>
      <c r="U428" s="114"/>
    </row>
    <row r="429" spans="1:21" s="115" customFormat="1" ht="45.75" customHeight="1">
      <c r="A429" s="82"/>
      <c r="B429" s="110"/>
      <c r="C429" s="169"/>
      <c r="D429" s="72"/>
      <c r="E429" s="71"/>
      <c r="F429" s="152" t="str">
        <f>F428</f>
        <v xml:space="preserve">Persiapan Kesiapsiagaan/Tanggap Bencana Skala Lokal Desa </v>
      </c>
      <c r="G429" s="86" t="s">
        <v>656</v>
      </c>
      <c r="H429" s="95"/>
      <c r="I429" s="96"/>
      <c r="J429" s="119" t="s">
        <v>254</v>
      </c>
      <c r="K429" s="170">
        <v>2000000</v>
      </c>
      <c r="L429" s="77">
        <v>2000000</v>
      </c>
      <c r="M429" s="77">
        <v>2000000</v>
      </c>
      <c r="N429" s="77">
        <v>2000000</v>
      </c>
      <c r="O429" s="77">
        <v>2000000</v>
      </c>
      <c r="P429" s="77">
        <v>2000000</v>
      </c>
      <c r="Q429" s="78">
        <f t="shared" si="21"/>
        <v>12000000</v>
      </c>
      <c r="R429" s="57" t="s">
        <v>21</v>
      </c>
      <c r="S429" s="82" t="s">
        <v>250</v>
      </c>
      <c r="T429" s="114"/>
      <c r="U429" s="114"/>
    </row>
    <row r="430" spans="1:21" s="115" customFormat="1" ht="83.25" customHeight="1">
      <c r="A430" s="82"/>
      <c r="B430" s="110"/>
      <c r="C430" s="169"/>
      <c r="D430" s="72"/>
      <c r="E430" s="71"/>
      <c r="F430" s="133" t="s">
        <v>167</v>
      </c>
      <c r="G430" s="86"/>
      <c r="H430" s="95"/>
      <c r="I430" s="96"/>
      <c r="J430" s="119"/>
      <c r="K430" s="171"/>
      <c r="L430" s="171"/>
      <c r="M430" s="171"/>
      <c r="N430" s="171"/>
      <c r="O430" s="171"/>
      <c r="P430" s="171"/>
      <c r="Q430" s="78">
        <f t="shared" si="21"/>
        <v>0</v>
      </c>
      <c r="R430" s="57"/>
      <c r="S430" s="117"/>
      <c r="T430" s="114"/>
      <c r="U430" s="114"/>
    </row>
    <row r="431" spans="1:21" s="115" customFormat="1" ht="45.75" customHeight="1">
      <c r="A431" s="82"/>
      <c r="B431" s="110"/>
      <c r="C431" s="169"/>
      <c r="D431" s="72"/>
      <c r="E431" s="71"/>
      <c r="F431" s="112" t="s">
        <v>714</v>
      </c>
      <c r="G431" s="94" t="s">
        <v>258</v>
      </c>
      <c r="H431" s="95">
        <v>1</v>
      </c>
      <c r="I431" s="96" t="s">
        <v>293</v>
      </c>
      <c r="J431" s="119" t="s">
        <v>254</v>
      </c>
      <c r="K431" s="171"/>
      <c r="L431" s="77">
        <f>150000*50</f>
        <v>7500000</v>
      </c>
      <c r="M431" s="171"/>
      <c r="N431" s="171"/>
      <c r="O431" s="171"/>
      <c r="P431" s="171"/>
      <c r="Q431" s="78">
        <f t="shared" si="21"/>
        <v>7500000</v>
      </c>
      <c r="R431" s="57" t="s">
        <v>21</v>
      </c>
      <c r="S431" s="82" t="s">
        <v>250</v>
      </c>
      <c r="T431" s="114"/>
      <c r="U431" s="114"/>
    </row>
    <row r="432" spans="1:21" s="115" customFormat="1" ht="45.75" customHeight="1">
      <c r="A432" s="82"/>
      <c r="B432" s="110"/>
      <c r="C432" s="169"/>
      <c r="D432" s="72"/>
      <c r="E432" s="71"/>
      <c r="F432" s="133" t="s">
        <v>174</v>
      </c>
      <c r="G432" s="94"/>
      <c r="H432" s="95"/>
      <c r="I432" s="96"/>
      <c r="J432" s="119"/>
      <c r="K432" s="171"/>
      <c r="L432" s="171"/>
      <c r="M432" s="171"/>
      <c r="N432" s="171"/>
      <c r="O432" s="171"/>
      <c r="P432" s="171"/>
      <c r="Q432" s="78">
        <f t="shared" si="21"/>
        <v>0</v>
      </c>
      <c r="R432" s="57"/>
      <c r="S432" s="117"/>
      <c r="T432" s="114"/>
      <c r="U432" s="114"/>
    </row>
    <row r="433" spans="1:21" s="115" customFormat="1" ht="45.75" customHeight="1">
      <c r="A433" s="82"/>
      <c r="B433" s="110"/>
      <c r="C433" s="169"/>
      <c r="D433" s="72"/>
      <c r="E433" s="71"/>
      <c r="F433" s="112" t="s">
        <v>715</v>
      </c>
      <c r="G433" s="94" t="s">
        <v>258</v>
      </c>
      <c r="H433" s="95">
        <v>1</v>
      </c>
      <c r="I433" s="96" t="s">
        <v>716</v>
      </c>
      <c r="J433" s="119" t="s">
        <v>254</v>
      </c>
      <c r="K433" s="77"/>
      <c r="L433" s="77">
        <f>5*14*150000</f>
        <v>10500000</v>
      </c>
      <c r="M433" s="77"/>
      <c r="N433" s="77">
        <f t="shared" ref="N433:P433" si="26">M433</f>
        <v>0</v>
      </c>
      <c r="O433" s="77">
        <f t="shared" si="26"/>
        <v>0</v>
      </c>
      <c r="P433" s="77">
        <f t="shared" si="26"/>
        <v>0</v>
      </c>
      <c r="Q433" s="78">
        <f t="shared" si="21"/>
        <v>10500000</v>
      </c>
      <c r="R433" s="57" t="s">
        <v>397</v>
      </c>
      <c r="S433" s="82" t="s">
        <v>250</v>
      </c>
      <c r="T433" s="114"/>
      <c r="U433" s="114"/>
    </row>
    <row r="434" spans="1:21" s="115" customFormat="1" ht="45.75" customHeight="1">
      <c r="A434" s="82"/>
      <c r="B434" s="110"/>
      <c r="C434" s="169"/>
      <c r="D434" s="72"/>
      <c r="E434" s="71"/>
      <c r="F434" s="133" t="s">
        <v>172</v>
      </c>
      <c r="G434" s="94"/>
      <c r="H434" s="95"/>
      <c r="I434" s="96"/>
      <c r="J434" s="119"/>
      <c r="K434" s="171"/>
      <c r="L434" s="171"/>
      <c r="M434" s="171"/>
      <c r="N434" s="171"/>
      <c r="O434" s="171"/>
      <c r="P434" s="171"/>
      <c r="Q434" s="78">
        <f t="shared" ref="Q434:Q476" si="27">SUM(K434:P434)</f>
        <v>0</v>
      </c>
      <c r="R434" s="57"/>
      <c r="S434" s="117"/>
      <c r="T434" s="114"/>
      <c r="U434" s="114"/>
    </row>
    <row r="435" spans="1:21" s="115" customFormat="1" ht="45.75" customHeight="1">
      <c r="A435" s="82"/>
      <c r="B435" s="110"/>
      <c r="C435" s="169"/>
      <c r="D435" s="72"/>
      <c r="E435" s="71"/>
      <c r="F435" s="112" t="s">
        <v>717</v>
      </c>
      <c r="G435" s="94" t="s">
        <v>258</v>
      </c>
      <c r="H435" s="95">
        <v>1</v>
      </c>
      <c r="I435" s="96" t="s">
        <v>716</v>
      </c>
      <c r="J435" s="119" t="s">
        <v>254</v>
      </c>
      <c r="K435" s="77"/>
      <c r="L435" s="77"/>
      <c r="M435" s="77">
        <f t="shared" ref="M435" si="28">5*14*150000</f>
        <v>10500000</v>
      </c>
      <c r="N435" s="77"/>
      <c r="O435" s="77"/>
      <c r="P435" s="77"/>
      <c r="Q435" s="78">
        <f t="shared" si="27"/>
        <v>10500000</v>
      </c>
      <c r="R435" s="57" t="s">
        <v>397</v>
      </c>
      <c r="S435" s="82" t="s">
        <v>250</v>
      </c>
      <c r="T435" s="114"/>
      <c r="U435" s="114"/>
    </row>
    <row r="436" spans="1:21" s="115" customFormat="1" ht="45.75" customHeight="1">
      <c r="A436" s="82"/>
      <c r="B436" s="110"/>
      <c r="C436" s="169"/>
      <c r="D436" s="72" t="s">
        <v>718</v>
      </c>
      <c r="E436" s="71"/>
      <c r="F436" s="133" t="s">
        <v>180</v>
      </c>
      <c r="G436" s="94"/>
      <c r="H436" s="95"/>
      <c r="I436" s="96"/>
      <c r="J436" s="119"/>
      <c r="K436" s="171"/>
      <c r="L436" s="171"/>
      <c r="M436" s="171"/>
      <c r="N436" s="171"/>
      <c r="O436" s="171"/>
      <c r="P436" s="171"/>
      <c r="Q436" s="78">
        <f t="shared" si="27"/>
        <v>0</v>
      </c>
      <c r="R436" s="57"/>
      <c r="S436" s="117"/>
      <c r="T436" s="114"/>
      <c r="U436" s="114"/>
    </row>
    <row r="437" spans="1:21" s="115" customFormat="1" ht="45.75" customHeight="1">
      <c r="A437" s="82"/>
      <c r="B437" s="110"/>
      <c r="C437" s="169"/>
      <c r="D437" s="72"/>
      <c r="E437" s="71"/>
      <c r="F437" s="112" t="s">
        <v>180</v>
      </c>
      <c r="G437" s="94" t="s">
        <v>277</v>
      </c>
      <c r="H437" s="95"/>
      <c r="I437" s="96"/>
      <c r="J437" s="119" t="s">
        <v>254</v>
      </c>
      <c r="K437" s="77"/>
      <c r="L437" s="171"/>
      <c r="M437" s="171"/>
      <c r="N437" s="77">
        <f>150000*56</f>
        <v>8400000</v>
      </c>
      <c r="O437" s="171"/>
      <c r="P437" s="171"/>
      <c r="Q437" s="78">
        <f t="shared" si="27"/>
        <v>8400000</v>
      </c>
      <c r="R437" s="57" t="s">
        <v>400</v>
      </c>
      <c r="S437" s="82" t="s">
        <v>250</v>
      </c>
      <c r="T437" s="114"/>
      <c r="U437" s="114"/>
    </row>
    <row r="438" spans="1:21" s="115" customFormat="1" ht="45.75" customHeight="1">
      <c r="A438" s="82"/>
      <c r="B438" s="110"/>
      <c r="C438" s="169"/>
      <c r="D438" s="72"/>
      <c r="E438" s="71"/>
      <c r="F438" s="133" t="s">
        <v>59</v>
      </c>
      <c r="G438" s="94"/>
      <c r="H438" s="95"/>
      <c r="I438" s="96"/>
      <c r="J438" s="119"/>
      <c r="K438" s="171"/>
      <c r="L438" s="171"/>
      <c r="M438" s="171"/>
      <c r="N438" s="171"/>
      <c r="O438" s="171"/>
      <c r="P438" s="171"/>
      <c r="Q438" s="78">
        <f t="shared" si="27"/>
        <v>0</v>
      </c>
      <c r="R438" s="57"/>
      <c r="S438" s="117"/>
      <c r="T438" s="114"/>
      <c r="U438" s="114"/>
    </row>
    <row r="439" spans="1:21" s="115" customFormat="1" ht="45.75" customHeight="1">
      <c r="A439" s="82"/>
      <c r="B439" s="110"/>
      <c r="C439" s="169"/>
      <c r="D439" s="72"/>
      <c r="E439" s="71"/>
      <c r="F439" s="142" t="s">
        <v>59</v>
      </c>
      <c r="G439" s="94" t="s">
        <v>262</v>
      </c>
      <c r="H439" s="95">
        <v>29</v>
      </c>
      <c r="I439" s="96" t="s">
        <v>255</v>
      </c>
      <c r="J439" s="119" t="s">
        <v>254</v>
      </c>
      <c r="K439" s="77">
        <f>500000*29</f>
        <v>14500000</v>
      </c>
      <c r="L439" s="77">
        <f t="shared" ref="L439:P439" si="29">500000*29</f>
        <v>14500000</v>
      </c>
      <c r="M439" s="77">
        <f t="shared" si="29"/>
        <v>14500000</v>
      </c>
      <c r="N439" s="77">
        <f t="shared" si="29"/>
        <v>14500000</v>
      </c>
      <c r="O439" s="77">
        <f t="shared" si="29"/>
        <v>14500000</v>
      </c>
      <c r="P439" s="77">
        <f t="shared" si="29"/>
        <v>14500000</v>
      </c>
      <c r="Q439" s="78">
        <f t="shared" si="27"/>
        <v>87000000</v>
      </c>
      <c r="R439" s="57" t="s">
        <v>21</v>
      </c>
      <c r="S439" s="82" t="s">
        <v>250</v>
      </c>
      <c r="T439" s="114"/>
      <c r="U439" s="114"/>
    </row>
    <row r="440" spans="1:21" s="115" customFormat="1" ht="45.75" customHeight="1">
      <c r="A440" s="82"/>
      <c r="B440" s="110"/>
      <c r="C440" s="169"/>
      <c r="D440" s="72"/>
      <c r="E440" s="71"/>
      <c r="F440" s="112" t="s">
        <v>719</v>
      </c>
      <c r="G440" s="94" t="s">
        <v>720</v>
      </c>
      <c r="H440" s="95">
        <v>2</v>
      </c>
      <c r="I440" s="96" t="s">
        <v>276</v>
      </c>
      <c r="J440" s="119" t="s">
        <v>254</v>
      </c>
      <c r="K440" s="77"/>
      <c r="L440" s="77"/>
      <c r="M440" s="77"/>
      <c r="N440" s="77">
        <v>2000000</v>
      </c>
      <c r="O440" s="77"/>
      <c r="P440" s="77">
        <v>2000000</v>
      </c>
      <c r="Q440" s="78">
        <f t="shared" si="27"/>
        <v>4000000</v>
      </c>
      <c r="R440" s="57" t="s">
        <v>21</v>
      </c>
      <c r="S440" s="82" t="s">
        <v>250</v>
      </c>
      <c r="T440" s="114"/>
      <c r="U440" s="114"/>
    </row>
    <row r="441" spans="1:21" s="115" customFormat="1" ht="45.75" customHeight="1">
      <c r="A441" s="82"/>
      <c r="B441" s="110"/>
      <c r="C441" s="169"/>
      <c r="D441" s="72"/>
      <c r="E441" s="71"/>
      <c r="F441" s="112" t="s">
        <v>721</v>
      </c>
      <c r="G441" s="94" t="s">
        <v>722</v>
      </c>
      <c r="H441" s="95">
        <v>1</v>
      </c>
      <c r="I441" s="96" t="s">
        <v>255</v>
      </c>
      <c r="J441" s="119" t="s">
        <v>254</v>
      </c>
      <c r="K441" s="77">
        <f>H441*580000</f>
        <v>580000</v>
      </c>
      <c r="L441" s="77"/>
      <c r="M441" s="77"/>
      <c r="N441" s="77"/>
      <c r="O441" s="77"/>
      <c r="P441" s="77"/>
      <c r="Q441" s="78">
        <f t="shared" si="27"/>
        <v>580000</v>
      </c>
      <c r="R441" s="57" t="s">
        <v>21</v>
      </c>
      <c r="S441" s="82" t="s">
        <v>250</v>
      </c>
      <c r="T441" s="114"/>
      <c r="U441" s="114"/>
    </row>
    <row r="442" spans="1:21" s="115" customFormat="1" ht="45.75" customHeight="1">
      <c r="A442" s="82"/>
      <c r="B442" s="110"/>
      <c r="C442" s="169"/>
      <c r="D442" s="72"/>
      <c r="E442" s="71"/>
      <c r="F442" s="112" t="s">
        <v>723</v>
      </c>
      <c r="G442" s="94" t="s">
        <v>724</v>
      </c>
      <c r="H442" s="95">
        <v>1</v>
      </c>
      <c r="I442" s="96" t="s">
        <v>255</v>
      </c>
      <c r="J442" s="119" t="s">
        <v>254</v>
      </c>
      <c r="K442" s="77">
        <f>H442*660000</f>
        <v>660000</v>
      </c>
      <c r="L442" s="77"/>
      <c r="M442" s="77"/>
      <c r="N442" s="77"/>
      <c r="O442" s="77"/>
      <c r="P442" s="77"/>
      <c r="Q442" s="78">
        <f t="shared" si="27"/>
        <v>660000</v>
      </c>
      <c r="R442" s="57" t="s">
        <v>21</v>
      </c>
      <c r="S442" s="82" t="s">
        <v>250</v>
      </c>
      <c r="T442" s="114"/>
      <c r="U442" s="114"/>
    </row>
    <row r="443" spans="1:21" s="115" customFormat="1" ht="45.75" customHeight="1">
      <c r="A443" s="82"/>
      <c r="B443" s="110"/>
      <c r="C443" s="169"/>
      <c r="D443" s="72"/>
      <c r="E443" s="71"/>
      <c r="F443" s="112" t="s">
        <v>725</v>
      </c>
      <c r="G443" s="94" t="s">
        <v>726</v>
      </c>
      <c r="H443" s="95">
        <v>10</v>
      </c>
      <c r="I443" s="96" t="s">
        <v>276</v>
      </c>
      <c r="J443" s="119" t="s">
        <v>254</v>
      </c>
      <c r="K443" s="77">
        <f>H443*19000</f>
        <v>190000</v>
      </c>
      <c r="L443" s="77"/>
      <c r="M443" s="77"/>
      <c r="N443" s="77"/>
      <c r="O443" s="77"/>
      <c r="P443" s="77"/>
      <c r="Q443" s="78">
        <f t="shared" si="27"/>
        <v>190000</v>
      </c>
      <c r="R443" s="57" t="s">
        <v>21</v>
      </c>
      <c r="S443" s="82" t="s">
        <v>250</v>
      </c>
      <c r="T443" s="114"/>
      <c r="U443" s="114"/>
    </row>
    <row r="444" spans="1:21" s="115" customFormat="1" ht="45.75" customHeight="1">
      <c r="A444" s="82"/>
      <c r="B444" s="110"/>
      <c r="C444" s="169"/>
      <c r="D444" s="72"/>
      <c r="E444" s="71"/>
      <c r="F444" s="112" t="s">
        <v>727</v>
      </c>
      <c r="G444" s="94" t="s">
        <v>726</v>
      </c>
      <c r="H444" s="95">
        <v>1</v>
      </c>
      <c r="I444" s="96" t="s">
        <v>276</v>
      </c>
      <c r="J444" s="119" t="s">
        <v>254</v>
      </c>
      <c r="K444" s="77">
        <f>H444*275000</f>
        <v>275000</v>
      </c>
      <c r="L444" s="77"/>
      <c r="M444" s="77"/>
      <c r="N444" s="77"/>
      <c r="O444" s="77"/>
      <c r="P444" s="77"/>
      <c r="Q444" s="78">
        <f t="shared" si="27"/>
        <v>275000</v>
      </c>
      <c r="R444" s="57" t="s">
        <v>21</v>
      </c>
      <c r="S444" s="82" t="s">
        <v>250</v>
      </c>
      <c r="T444" s="114"/>
      <c r="U444" s="114"/>
    </row>
    <row r="445" spans="1:21" s="115" customFormat="1" ht="45.75" customHeight="1">
      <c r="A445" s="82"/>
      <c r="B445" s="110"/>
      <c r="C445" s="169"/>
      <c r="D445" s="72"/>
      <c r="E445" s="71"/>
      <c r="F445" s="112" t="s">
        <v>728</v>
      </c>
      <c r="G445" s="94" t="s">
        <v>729</v>
      </c>
      <c r="H445" s="95">
        <v>10</v>
      </c>
      <c r="I445" s="96" t="s">
        <v>276</v>
      </c>
      <c r="J445" s="119" t="s">
        <v>254</v>
      </c>
      <c r="K445" s="77">
        <f>H445*54000</f>
        <v>540000</v>
      </c>
      <c r="L445" s="77"/>
      <c r="M445" s="77"/>
      <c r="N445" s="77"/>
      <c r="O445" s="77"/>
      <c r="P445" s="77"/>
      <c r="Q445" s="78">
        <f t="shared" si="27"/>
        <v>540000</v>
      </c>
      <c r="R445" s="57" t="s">
        <v>21</v>
      </c>
      <c r="S445" s="82" t="s">
        <v>250</v>
      </c>
      <c r="T445" s="114"/>
      <c r="U445" s="114"/>
    </row>
    <row r="446" spans="1:21" s="115" customFormat="1" ht="45.75" customHeight="1">
      <c r="A446" s="82"/>
      <c r="B446" s="110"/>
      <c r="C446" s="169"/>
      <c r="D446" s="72"/>
      <c r="E446" s="71"/>
      <c r="F446" s="112" t="s">
        <v>730</v>
      </c>
      <c r="G446" s="94" t="s">
        <v>729</v>
      </c>
      <c r="H446" s="95">
        <v>10</v>
      </c>
      <c r="I446" s="96" t="s">
        <v>276</v>
      </c>
      <c r="J446" s="119" t="s">
        <v>254</v>
      </c>
      <c r="K446" s="77">
        <f>H445*13000</f>
        <v>130000</v>
      </c>
      <c r="L446" s="77"/>
      <c r="M446" s="77"/>
      <c r="N446" s="77"/>
      <c r="O446" s="77"/>
      <c r="P446" s="77"/>
      <c r="Q446" s="78">
        <f t="shared" si="27"/>
        <v>130000</v>
      </c>
      <c r="R446" s="57" t="s">
        <v>21</v>
      </c>
      <c r="S446" s="82" t="s">
        <v>250</v>
      </c>
      <c r="T446" s="114"/>
      <c r="U446" s="114"/>
    </row>
    <row r="447" spans="1:21" s="115" customFormat="1" ht="45.75" customHeight="1">
      <c r="A447" s="82"/>
      <c r="B447" s="110"/>
      <c r="C447" s="169"/>
      <c r="D447" s="72"/>
      <c r="E447" s="71"/>
      <c r="F447" s="112" t="s">
        <v>728</v>
      </c>
      <c r="G447" s="94" t="s">
        <v>272</v>
      </c>
      <c r="H447" s="95">
        <v>10</v>
      </c>
      <c r="I447" s="96" t="s">
        <v>276</v>
      </c>
      <c r="J447" s="119" t="s">
        <v>254</v>
      </c>
      <c r="K447" s="77">
        <f>H447*54000</f>
        <v>540000</v>
      </c>
      <c r="L447" s="77"/>
      <c r="M447" s="77"/>
      <c r="N447" s="77"/>
      <c r="O447" s="77"/>
      <c r="P447" s="77"/>
      <c r="Q447" s="78">
        <f t="shared" si="27"/>
        <v>540000</v>
      </c>
      <c r="R447" s="57" t="s">
        <v>21</v>
      </c>
      <c r="S447" s="82" t="s">
        <v>250</v>
      </c>
      <c r="T447" s="114"/>
      <c r="U447" s="114"/>
    </row>
    <row r="448" spans="1:21" s="115" customFormat="1" ht="45.75" customHeight="1">
      <c r="A448" s="82"/>
      <c r="B448" s="110"/>
      <c r="C448" s="169"/>
      <c r="D448" s="72"/>
      <c r="E448" s="71"/>
      <c r="F448" s="112" t="s">
        <v>731</v>
      </c>
      <c r="G448" s="94" t="s">
        <v>267</v>
      </c>
      <c r="H448" s="95">
        <v>10</v>
      </c>
      <c r="I448" s="96" t="s">
        <v>276</v>
      </c>
      <c r="J448" s="119" t="s">
        <v>254</v>
      </c>
      <c r="K448" s="77">
        <f>H448*15000</f>
        <v>150000</v>
      </c>
      <c r="L448" s="77"/>
      <c r="M448" s="77"/>
      <c r="N448" s="77"/>
      <c r="O448" s="77"/>
      <c r="P448" s="77"/>
      <c r="Q448" s="78">
        <f t="shared" si="27"/>
        <v>150000</v>
      </c>
      <c r="R448" s="57" t="s">
        <v>21</v>
      </c>
      <c r="S448" s="82" t="s">
        <v>250</v>
      </c>
      <c r="T448" s="114"/>
      <c r="U448" s="114"/>
    </row>
    <row r="449" spans="1:21" s="115" customFormat="1" ht="45.75" customHeight="1">
      <c r="A449" s="82"/>
      <c r="B449" s="110"/>
      <c r="C449" s="169"/>
      <c r="D449" s="72"/>
      <c r="E449" s="71"/>
      <c r="F449" s="112" t="s">
        <v>732</v>
      </c>
      <c r="G449" s="94" t="s">
        <v>267</v>
      </c>
      <c r="H449" s="95">
        <v>10</v>
      </c>
      <c r="I449" s="96" t="s">
        <v>255</v>
      </c>
      <c r="J449" s="119" t="s">
        <v>254</v>
      </c>
      <c r="K449" s="77">
        <f>H449*145000</f>
        <v>1450000</v>
      </c>
      <c r="L449" s="77"/>
      <c r="M449" s="77"/>
      <c r="N449" s="77"/>
      <c r="O449" s="77"/>
      <c r="P449" s="77"/>
      <c r="Q449" s="78">
        <f t="shared" si="27"/>
        <v>1450000</v>
      </c>
      <c r="R449" s="57" t="s">
        <v>21</v>
      </c>
      <c r="S449" s="82" t="s">
        <v>250</v>
      </c>
      <c r="T449" s="114"/>
      <c r="U449" s="114"/>
    </row>
    <row r="450" spans="1:21" s="115" customFormat="1" ht="45.75" customHeight="1">
      <c r="A450" s="82"/>
      <c r="B450" s="110"/>
      <c r="C450" s="169"/>
      <c r="D450" s="72"/>
      <c r="E450" s="71"/>
      <c r="F450" s="141" t="s">
        <v>181</v>
      </c>
      <c r="G450" s="94"/>
      <c r="H450" s="95"/>
      <c r="I450" s="96"/>
      <c r="J450" s="119"/>
      <c r="K450" s="171"/>
      <c r="L450" s="171"/>
      <c r="M450" s="171"/>
      <c r="N450" s="171"/>
      <c r="O450" s="171"/>
      <c r="P450" s="171"/>
      <c r="Q450" s="78">
        <f t="shared" si="27"/>
        <v>0</v>
      </c>
      <c r="R450" s="57"/>
      <c r="S450" s="117"/>
      <c r="T450" s="114"/>
      <c r="U450" s="114"/>
    </row>
    <row r="451" spans="1:21" s="115" customFormat="1" ht="45.75" customHeight="1">
      <c r="A451" s="82"/>
      <c r="B451" s="110"/>
      <c r="C451" s="169"/>
      <c r="D451" s="72"/>
      <c r="E451" s="71"/>
      <c r="F451" s="142" t="s">
        <v>181</v>
      </c>
      <c r="G451" s="94" t="s">
        <v>561</v>
      </c>
      <c r="H451" s="95">
        <v>14</v>
      </c>
      <c r="I451" s="96" t="s">
        <v>60</v>
      </c>
      <c r="J451" s="119" t="s">
        <v>254</v>
      </c>
      <c r="K451" s="77"/>
      <c r="L451" s="77"/>
      <c r="M451" s="77"/>
      <c r="N451" s="77"/>
      <c r="O451" s="77">
        <f>14*1000000</f>
        <v>14000000</v>
      </c>
      <c r="P451" s="77"/>
      <c r="Q451" s="78">
        <f t="shared" si="27"/>
        <v>14000000</v>
      </c>
      <c r="R451" s="57" t="s">
        <v>21</v>
      </c>
      <c r="S451" s="82" t="s">
        <v>250</v>
      </c>
      <c r="T451" s="114"/>
      <c r="U451" s="114"/>
    </row>
    <row r="452" spans="1:21" s="115" customFormat="1" ht="59.25" customHeight="1">
      <c r="A452" s="82"/>
      <c r="B452" s="110"/>
      <c r="C452" s="169"/>
      <c r="D452" s="72"/>
      <c r="E452" s="71"/>
      <c r="F452" s="134" t="s">
        <v>178</v>
      </c>
      <c r="G452" s="133"/>
      <c r="H452" s="137"/>
      <c r="I452" s="138"/>
      <c r="J452" s="133"/>
      <c r="K452" s="171"/>
      <c r="L452" s="171"/>
      <c r="M452" s="171"/>
      <c r="N452" s="171"/>
      <c r="O452" s="171"/>
      <c r="P452" s="171"/>
      <c r="Q452" s="78">
        <f t="shared" si="27"/>
        <v>0</v>
      </c>
      <c r="R452" s="57"/>
      <c r="S452" s="117"/>
      <c r="T452" s="114"/>
      <c r="U452" s="114"/>
    </row>
    <row r="453" spans="1:21" s="115" customFormat="1" ht="45.75" customHeight="1">
      <c r="A453" s="82"/>
      <c r="B453" s="110"/>
      <c r="C453" s="169"/>
      <c r="D453" s="72"/>
      <c r="E453" s="71"/>
      <c r="F453" s="142" t="s">
        <v>733</v>
      </c>
      <c r="G453" s="94" t="s">
        <v>262</v>
      </c>
      <c r="H453" s="95">
        <v>14</v>
      </c>
      <c r="I453" s="96" t="s">
        <v>458</v>
      </c>
      <c r="J453" s="119"/>
      <c r="K453" s="77">
        <f>2500000*14</f>
        <v>35000000</v>
      </c>
      <c r="L453" s="77">
        <f t="shared" ref="L453:P453" si="30">2500000*14</f>
        <v>35000000</v>
      </c>
      <c r="M453" s="77">
        <f t="shared" si="30"/>
        <v>35000000</v>
      </c>
      <c r="N453" s="77">
        <f t="shared" si="30"/>
        <v>35000000</v>
      </c>
      <c r="O453" s="77">
        <f t="shared" si="30"/>
        <v>35000000</v>
      </c>
      <c r="P453" s="77">
        <f t="shared" si="30"/>
        <v>35000000</v>
      </c>
      <c r="Q453" s="78">
        <f t="shared" si="27"/>
        <v>210000000</v>
      </c>
      <c r="R453" s="57" t="s">
        <v>400</v>
      </c>
      <c r="S453" s="82" t="s">
        <v>250</v>
      </c>
      <c r="T453" s="114"/>
      <c r="U453" s="114"/>
    </row>
    <row r="454" spans="1:21" s="115" customFormat="1" ht="45.75" customHeight="1">
      <c r="A454" s="82"/>
      <c r="B454" s="110"/>
      <c r="C454" s="169"/>
      <c r="D454" s="72"/>
      <c r="E454" s="71"/>
      <c r="F454" s="133" t="s">
        <v>177</v>
      </c>
      <c r="G454" s="94"/>
      <c r="H454" s="95"/>
      <c r="I454" s="96"/>
      <c r="J454" s="119"/>
      <c r="K454" s="171"/>
      <c r="L454" s="171"/>
      <c r="M454" s="171"/>
      <c r="N454" s="171"/>
      <c r="O454" s="171"/>
      <c r="P454" s="171"/>
      <c r="Q454" s="78">
        <f t="shared" si="27"/>
        <v>0</v>
      </c>
      <c r="R454" s="57"/>
      <c r="S454" s="117"/>
      <c r="T454" s="114"/>
      <c r="U454" s="114"/>
    </row>
    <row r="455" spans="1:21" s="115" customFormat="1" ht="45.75" customHeight="1">
      <c r="A455" s="82"/>
      <c r="B455" s="110"/>
      <c r="C455" s="169"/>
      <c r="D455" s="72"/>
      <c r="E455" s="71"/>
      <c r="F455" s="118" t="s">
        <v>177</v>
      </c>
      <c r="G455" s="94" t="s">
        <v>275</v>
      </c>
      <c r="H455" s="95">
        <v>1</v>
      </c>
      <c r="I455" s="96" t="s">
        <v>293</v>
      </c>
      <c r="J455" s="119" t="s">
        <v>254</v>
      </c>
      <c r="K455" s="77">
        <f>22*150000</f>
        <v>3300000</v>
      </c>
      <c r="L455" s="171"/>
      <c r="M455" s="171"/>
      <c r="N455" s="171"/>
      <c r="O455" s="171"/>
      <c r="P455" s="171"/>
      <c r="Q455" s="78">
        <f t="shared" si="27"/>
        <v>3300000</v>
      </c>
      <c r="R455" s="57" t="s">
        <v>400</v>
      </c>
      <c r="S455" s="82" t="s">
        <v>250</v>
      </c>
      <c r="T455" s="114"/>
      <c r="U455" s="114"/>
    </row>
    <row r="456" spans="1:21" s="115" customFormat="1" ht="45.75" customHeight="1">
      <c r="A456" s="82"/>
      <c r="B456" s="110"/>
      <c r="C456" s="169"/>
      <c r="D456" s="72"/>
      <c r="E456" s="71"/>
      <c r="F456" s="118" t="s">
        <v>177</v>
      </c>
      <c r="G456" s="94" t="s">
        <v>437</v>
      </c>
      <c r="H456" s="95">
        <v>1</v>
      </c>
      <c r="I456" s="96" t="s">
        <v>255</v>
      </c>
      <c r="J456" s="119" t="s">
        <v>254</v>
      </c>
      <c r="K456" s="171"/>
      <c r="L456" s="77">
        <f>22*150000</f>
        <v>3300000</v>
      </c>
      <c r="M456" s="171"/>
      <c r="N456" s="171"/>
      <c r="O456" s="171"/>
      <c r="P456" s="171"/>
      <c r="Q456" s="78">
        <f t="shared" si="27"/>
        <v>3300000</v>
      </c>
      <c r="R456" s="57" t="s">
        <v>400</v>
      </c>
      <c r="S456" s="82" t="s">
        <v>250</v>
      </c>
      <c r="T456" s="114"/>
      <c r="U456" s="114"/>
    </row>
    <row r="457" spans="1:21" s="115" customFormat="1" ht="45.75" customHeight="1">
      <c r="A457" s="82"/>
      <c r="B457" s="110"/>
      <c r="C457" s="169"/>
      <c r="D457" s="72"/>
      <c r="E457" s="71"/>
      <c r="F457" s="118" t="s">
        <v>177</v>
      </c>
      <c r="G457" s="94" t="s">
        <v>271</v>
      </c>
      <c r="H457" s="95">
        <v>1</v>
      </c>
      <c r="I457" s="96" t="s">
        <v>255</v>
      </c>
      <c r="J457" s="119" t="s">
        <v>254</v>
      </c>
      <c r="K457" s="77">
        <v>3300000</v>
      </c>
      <c r="L457" s="171"/>
      <c r="M457" s="171"/>
      <c r="N457" s="171"/>
      <c r="O457" s="171"/>
      <c r="P457" s="171"/>
      <c r="Q457" s="78">
        <f t="shared" si="27"/>
        <v>3300000</v>
      </c>
      <c r="R457" s="57" t="s">
        <v>400</v>
      </c>
      <c r="S457" s="82" t="s">
        <v>250</v>
      </c>
      <c r="T457" s="114"/>
      <c r="U457" s="114"/>
    </row>
    <row r="458" spans="1:21" s="115" customFormat="1" ht="45.75" customHeight="1">
      <c r="A458" s="82"/>
      <c r="B458" s="110"/>
      <c r="C458" s="169"/>
      <c r="D458" s="72"/>
      <c r="E458" s="71"/>
      <c r="F458" s="118" t="str">
        <f>F457</f>
        <v>Pembinaan Group Kesenian dan Kebudayaan Tingkat Desa</v>
      </c>
      <c r="G458" s="94" t="s">
        <v>265</v>
      </c>
      <c r="H458" s="95">
        <v>1</v>
      </c>
      <c r="I458" s="96" t="s">
        <v>255</v>
      </c>
      <c r="J458" s="119" t="s">
        <v>254</v>
      </c>
      <c r="K458" s="77">
        <f>150000*32</f>
        <v>4800000</v>
      </c>
      <c r="L458" s="171"/>
      <c r="M458" s="171"/>
      <c r="N458" s="171"/>
      <c r="O458" s="171"/>
      <c r="P458" s="171"/>
      <c r="Q458" s="78">
        <f t="shared" si="27"/>
        <v>4800000</v>
      </c>
      <c r="R458" s="57" t="s">
        <v>400</v>
      </c>
      <c r="S458" s="82" t="s">
        <v>250</v>
      </c>
      <c r="T458" s="114"/>
      <c r="U458" s="114"/>
    </row>
    <row r="459" spans="1:21" s="115" customFormat="1" ht="45.75" customHeight="1">
      <c r="A459" s="82"/>
      <c r="B459" s="110"/>
      <c r="C459" s="169"/>
      <c r="D459" s="72"/>
      <c r="E459" s="71"/>
      <c r="F459" s="133" t="s">
        <v>179</v>
      </c>
      <c r="G459" s="94"/>
      <c r="H459" s="95"/>
      <c r="I459" s="96"/>
      <c r="J459" s="85"/>
      <c r="K459" s="145"/>
      <c r="L459" s="171"/>
      <c r="M459" s="171"/>
      <c r="N459" s="171"/>
      <c r="O459" s="171"/>
      <c r="P459" s="171"/>
      <c r="Q459" s="78">
        <f t="shared" si="27"/>
        <v>0</v>
      </c>
      <c r="R459" s="57"/>
      <c r="S459" s="117"/>
      <c r="T459" s="114"/>
      <c r="U459" s="114"/>
    </row>
    <row r="460" spans="1:21" s="115" customFormat="1" ht="45.75" customHeight="1">
      <c r="A460" s="82"/>
      <c r="B460" s="110"/>
      <c r="C460" s="169"/>
      <c r="D460" s="72"/>
      <c r="E460" s="71"/>
      <c r="F460" s="118" t="s">
        <v>179</v>
      </c>
      <c r="G460" s="94" t="s">
        <v>275</v>
      </c>
      <c r="H460" s="95"/>
      <c r="I460" s="96"/>
      <c r="J460" s="85" t="s">
        <v>254</v>
      </c>
      <c r="K460" s="145"/>
      <c r="L460" s="171"/>
      <c r="M460" s="171"/>
      <c r="N460" s="171"/>
      <c r="O460" s="171"/>
      <c r="P460" s="171"/>
      <c r="Q460" s="78">
        <f t="shared" si="27"/>
        <v>0</v>
      </c>
      <c r="R460" s="57" t="s">
        <v>400</v>
      </c>
      <c r="S460" s="117"/>
      <c r="T460" s="114"/>
      <c r="U460" s="114"/>
    </row>
    <row r="461" spans="1:21" s="115" customFormat="1" ht="45.75" customHeight="1">
      <c r="A461" s="82"/>
      <c r="B461" s="110"/>
      <c r="C461" s="169"/>
      <c r="D461" s="72"/>
      <c r="E461" s="71"/>
      <c r="F461" s="133" t="s">
        <v>734</v>
      </c>
      <c r="G461" s="94"/>
      <c r="H461" s="95"/>
      <c r="I461" s="96"/>
      <c r="J461" s="119"/>
      <c r="K461" s="171"/>
      <c r="L461" s="171"/>
      <c r="M461" s="171"/>
      <c r="N461" s="171"/>
      <c r="O461" s="171"/>
      <c r="P461" s="171"/>
      <c r="Q461" s="78">
        <f t="shared" si="27"/>
        <v>0</v>
      </c>
      <c r="R461" s="57"/>
      <c r="S461" s="117"/>
      <c r="T461" s="114"/>
      <c r="U461" s="114"/>
    </row>
    <row r="462" spans="1:21" s="115" customFormat="1" ht="45.75" customHeight="1">
      <c r="A462" s="82"/>
      <c r="B462" s="110"/>
      <c r="C462" s="169"/>
      <c r="D462" s="72"/>
      <c r="E462" s="71"/>
      <c r="F462" s="142" t="s">
        <v>735</v>
      </c>
      <c r="G462" s="94" t="s">
        <v>361</v>
      </c>
      <c r="H462" s="95">
        <v>14</v>
      </c>
      <c r="I462" s="96" t="s">
        <v>458</v>
      </c>
      <c r="J462" s="85" t="s">
        <v>736</v>
      </c>
      <c r="K462" s="145">
        <f>10*150000</f>
        <v>1500000</v>
      </c>
      <c r="L462" s="145">
        <f t="shared" ref="L462:P462" si="31">10*150000</f>
        <v>1500000</v>
      </c>
      <c r="M462" s="145">
        <f t="shared" si="31"/>
        <v>1500000</v>
      </c>
      <c r="N462" s="145">
        <f t="shared" si="31"/>
        <v>1500000</v>
      </c>
      <c r="O462" s="145">
        <f t="shared" si="31"/>
        <v>1500000</v>
      </c>
      <c r="P462" s="145">
        <f t="shared" si="31"/>
        <v>1500000</v>
      </c>
      <c r="Q462" s="78">
        <f t="shared" si="27"/>
        <v>9000000</v>
      </c>
      <c r="R462" s="57" t="s">
        <v>21</v>
      </c>
      <c r="S462" s="82" t="s">
        <v>250</v>
      </c>
      <c r="T462" s="114"/>
      <c r="U462" s="114"/>
    </row>
    <row r="463" spans="1:21" s="115" customFormat="1" ht="45.75" customHeight="1">
      <c r="A463" s="82"/>
      <c r="B463" s="110"/>
      <c r="C463" s="169"/>
      <c r="D463" s="72"/>
      <c r="E463" s="71"/>
      <c r="F463" s="142" t="s">
        <v>737</v>
      </c>
      <c r="G463" s="94" t="s">
        <v>361</v>
      </c>
      <c r="H463" s="95">
        <v>14</v>
      </c>
      <c r="I463" s="96" t="s">
        <v>458</v>
      </c>
      <c r="J463" s="119" t="s">
        <v>738</v>
      </c>
      <c r="K463" s="77">
        <f>18*150000</f>
        <v>2700000</v>
      </c>
      <c r="L463" s="77">
        <f t="shared" ref="L463:P463" si="32">14*150000</f>
        <v>2100000</v>
      </c>
      <c r="M463" s="77">
        <f t="shared" si="32"/>
        <v>2100000</v>
      </c>
      <c r="N463" s="77">
        <f t="shared" si="32"/>
        <v>2100000</v>
      </c>
      <c r="O463" s="77">
        <f t="shared" si="32"/>
        <v>2100000</v>
      </c>
      <c r="P463" s="77">
        <f t="shared" si="32"/>
        <v>2100000</v>
      </c>
      <c r="Q463" s="78">
        <f t="shared" si="27"/>
        <v>13200000</v>
      </c>
      <c r="R463" s="57" t="s">
        <v>21</v>
      </c>
      <c r="S463" s="82" t="s">
        <v>250</v>
      </c>
      <c r="T463" s="114"/>
      <c r="U463" s="114"/>
    </row>
    <row r="464" spans="1:21" s="115" customFormat="1" ht="79.5" customHeight="1">
      <c r="A464" s="82"/>
      <c r="B464" s="110"/>
      <c r="C464" s="169"/>
      <c r="D464" s="72"/>
      <c r="E464" s="71"/>
      <c r="F464" s="133" t="s">
        <v>739</v>
      </c>
      <c r="G464" s="94"/>
      <c r="H464" s="95"/>
      <c r="I464" s="96"/>
      <c r="J464" s="119"/>
      <c r="K464" s="171"/>
      <c r="L464" s="171"/>
      <c r="M464" s="171"/>
      <c r="N464" s="171"/>
      <c r="O464" s="171"/>
      <c r="P464" s="171"/>
      <c r="Q464" s="78">
        <f t="shared" si="27"/>
        <v>0</v>
      </c>
      <c r="R464" s="57"/>
      <c r="S464" s="117"/>
      <c r="T464" s="114"/>
      <c r="U464" s="114"/>
    </row>
    <row r="465" spans="1:21" s="115" customFormat="1" ht="45.75" customHeight="1">
      <c r="A465" s="82"/>
      <c r="B465" s="110"/>
      <c r="C465" s="169"/>
      <c r="D465" s="72"/>
      <c r="E465" s="71"/>
      <c r="F465" s="112" t="s">
        <v>740</v>
      </c>
      <c r="G465" s="94" t="s">
        <v>283</v>
      </c>
      <c r="H465" s="95">
        <v>10</v>
      </c>
      <c r="I465" s="96" t="s">
        <v>276</v>
      </c>
      <c r="J465" s="119" t="s">
        <v>254</v>
      </c>
      <c r="K465" s="77"/>
      <c r="L465" s="77">
        <v>3500000</v>
      </c>
      <c r="M465" s="77"/>
      <c r="N465" s="77"/>
      <c r="O465" s="77"/>
      <c r="P465" s="77"/>
      <c r="Q465" s="78">
        <f t="shared" si="27"/>
        <v>3500000</v>
      </c>
      <c r="R465" s="57" t="s">
        <v>400</v>
      </c>
      <c r="S465" s="82" t="s">
        <v>250</v>
      </c>
      <c r="T465" s="114"/>
      <c r="U465" s="114"/>
    </row>
    <row r="466" spans="1:21" s="115" customFormat="1" ht="45.75" customHeight="1">
      <c r="A466" s="82"/>
      <c r="B466" s="110"/>
      <c r="C466" s="169"/>
      <c r="D466" s="72"/>
      <c r="E466" s="71"/>
      <c r="F466" s="112" t="s">
        <v>741</v>
      </c>
      <c r="G466" s="94" t="s">
        <v>742</v>
      </c>
      <c r="H466" s="95">
        <v>1</v>
      </c>
      <c r="I466" s="96" t="s">
        <v>255</v>
      </c>
      <c r="J466" s="119" t="s">
        <v>254</v>
      </c>
      <c r="K466" s="77"/>
      <c r="L466" s="77"/>
      <c r="M466" s="77"/>
      <c r="N466" s="77"/>
      <c r="O466" s="77">
        <v>40000000</v>
      </c>
      <c r="P466" s="77"/>
      <c r="Q466" s="78">
        <f t="shared" si="27"/>
        <v>40000000</v>
      </c>
      <c r="R466" s="57" t="s">
        <v>400</v>
      </c>
      <c r="S466" s="82" t="s">
        <v>250</v>
      </c>
      <c r="T466" s="114"/>
      <c r="U466" s="114"/>
    </row>
    <row r="467" spans="1:21" s="115" customFormat="1" ht="45.75" customHeight="1">
      <c r="A467" s="82"/>
      <c r="B467" s="110"/>
      <c r="C467" s="169"/>
      <c r="D467" s="72"/>
      <c r="E467" s="71"/>
      <c r="F467" s="112" t="s">
        <v>743</v>
      </c>
      <c r="G467" s="94" t="s">
        <v>744</v>
      </c>
      <c r="H467" s="95">
        <v>10</v>
      </c>
      <c r="I467" s="96" t="s">
        <v>276</v>
      </c>
      <c r="J467" s="119" t="s">
        <v>254</v>
      </c>
      <c r="K467" s="77"/>
      <c r="L467" s="77"/>
      <c r="M467" s="77">
        <f>10*200000</f>
        <v>2000000</v>
      </c>
      <c r="N467" s="77"/>
      <c r="O467" s="77"/>
      <c r="P467" s="77"/>
      <c r="Q467" s="78">
        <f t="shared" si="27"/>
        <v>2000000</v>
      </c>
      <c r="R467" s="57" t="s">
        <v>400</v>
      </c>
      <c r="S467" s="82" t="s">
        <v>250</v>
      </c>
      <c r="T467" s="114"/>
      <c r="U467" s="114"/>
    </row>
    <row r="468" spans="1:21" s="115" customFormat="1" ht="45.75" customHeight="1">
      <c r="A468" s="82"/>
      <c r="B468" s="110"/>
      <c r="C468" s="169"/>
      <c r="D468" s="72"/>
      <c r="E468" s="71"/>
      <c r="F468" s="112" t="s">
        <v>745</v>
      </c>
      <c r="G468" s="94" t="s">
        <v>284</v>
      </c>
      <c r="H468" s="95">
        <v>12</v>
      </c>
      <c r="I468" s="96" t="s">
        <v>276</v>
      </c>
      <c r="J468" s="119" t="s">
        <v>254</v>
      </c>
      <c r="K468" s="77"/>
      <c r="L468" s="77">
        <f>H468*675000</f>
        <v>8100000</v>
      </c>
      <c r="M468" s="77"/>
      <c r="N468" s="77"/>
      <c r="O468" s="77"/>
      <c r="P468" s="77"/>
      <c r="Q468" s="78">
        <f t="shared" si="27"/>
        <v>8100000</v>
      </c>
      <c r="R468" s="57" t="s">
        <v>400</v>
      </c>
      <c r="S468" s="82" t="s">
        <v>250</v>
      </c>
      <c r="T468" s="114"/>
      <c r="U468" s="114"/>
    </row>
    <row r="469" spans="1:21" s="115" customFormat="1" ht="45.75" customHeight="1">
      <c r="A469" s="82"/>
      <c r="B469" s="110"/>
      <c r="C469" s="169"/>
      <c r="D469" s="72"/>
      <c r="E469" s="71"/>
      <c r="F469" s="112" t="s">
        <v>746</v>
      </c>
      <c r="G469" s="94" t="str">
        <f>G468</f>
        <v>Legundi</v>
      </c>
      <c r="H469" s="95">
        <v>15</v>
      </c>
      <c r="I469" s="96" t="s">
        <v>276</v>
      </c>
      <c r="J469" s="119" t="s">
        <v>254</v>
      </c>
      <c r="K469" s="77"/>
      <c r="L469" s="77"/>
      <c r="M469" s="77"/>
      <c r="N469" s="77">
        <f>H469*75000</f>
        <v>1125000</v>
      </c>
      <c r="O469" s="77"/>
      <c r="P469" s="77"/>
      <c r="Q469" s="78">
        <f t="shared" si="27"/>
        <v>1125000</v>
      </c>
      <c r="R469" s="57" t="s">
        <v>400</v>
      </c>
      <c r="S469" s="82" t="s">
        <v>250</v>
      </c>
      <c r="T469" s="114"/>
      <c r="U469" s="114"/>
    </row>
    <row r="470" spans="1:21" s="115" customFormat="1" ht="45.75" customHeight="1">
      <c r="A470" s="82"/>
      <c r="B470" s="110"/>
      <c r="C470" s="169"/>
      <c r="D470" s="72"/>
      <c r="E470" s="71"/>
      <c r="F470" s="118" t="s">
        <v>747</v>
      </c>
      <c r="G470" s="94" t="str">
        <f>G469</f>
        <v>Legundi</v>
      </c>
      <c r="H470" s="95">
        <v>20</v>
      </c>
      <c r="I470" s="96" t="s">
        <v>276</v>
      </c>
      <c r="J470" s="119" t="s">
        <v>254</v>
      </c>
      <c r="K470" s="77">
        <f>75000*H470</f>
        <v>1500000</v>
      </c>
      <c r="L470" s="77"/>
      <c r="M470" s="77"/>
      <c r="N470" s="77"/>
      <c r="O470" s="77"/>
      <c r="P470" s="77"/>
      <c r="Q470" s="78">
        <f t="shared" si="27"/>
        <v>1500000</v>
      </c>
      <c r="R470" s="57" t="s">
        <v>400</v>
      </c>
      <c r="S470" s="82" t="s">
        <v>250</v>
      </c>
      <c r="T470" s="114"/>
      <c r="U470" s="114"/>
    </row>
    <row r="471" spans="1:21" s="115" customFormat="1" ht="45.75" customHeight="1">
      <c r="A471" s="82"/>
      <c r="B471" s="110"/>
      <c r="C471" s="169"/>
      <c r="D471" s="72"/>
      <c r="E471" s="71"/>
      <c r="F471" s="118" t="s">
        <v>748</v>
      </c>
      <c r="G471" s="94" t="s">
        <v>269</v>
      </c>
      <c r="H471" s="95">
        <v>20</v>
      </c>
      <c r="I471" s="96" t="s">
        <v>276</v>
      </c>
      <c r="J471" s="119" t="s">
        <v>254</v>
      </c>
      <c r="K471" s="77"/>
      <c r="L471" s="77"/>
      <c r="M471" s="77"/>
      <c r="N471" s="77"/>
      <c r="O471" s="77"/>
      <c r="P471" s="77">
        <f>20*200000</f>
        <v>4000000</v>
      </c>
      <c r="Q471" s="78">
        <f t="shared" si="27"/>
        <v>4000000</v>
      </c>
      <c r="R471" s="57" t="s">
        <v>400</v>
      </c>
      <c r="S471" s="82" t="s">
        <v>250</v>
      </c>
      <c r="T471" s="114"/>
      <c r="U471" s="114"/>
    </row>
    <row r="472" spans="1:21" s="115" customFormat="1" ht="45.75" customHeight="1">
      <c r="A472" s="82"/>
      <c r="B472" s="110"/>
      <c r="C472" s="169"/>
      <c r="D472" s="72"/>
      <c r="E472" s="71"/>
      <c r="F472" s="118" t="s">
        <v>749</v>
      </c>
      <c r="G472" s="94" t="s">
        <v>269</v>
      </c>
      <c r="H472" s="95">
        <v>30</v>
      </c>
      <c r="I472" s="96" t="s">
        <v>276</v>
      </c>
      <c r="J472" s="119" t="s">
        <v>254</v>
      </c>
      <c r="K472" s="77">
        <f>H472*75000</f>
        <v>2250000</v>
      </c>
      <c r="L472" s="77"/>
      <c r="M472" s="77"/>
      <c r="N472" s="77"/>
      <c r="O472" s="77"/>
      <c r="P472" s="77"/>
      <c r="Q472" s="78">
        <f t="shared" si="27"/>
        <v>2250000</v>
      </c>
      <c r="R472" s="57" t="s">
        <v>400</v>
      </c>
      <c r="S472" s="82" t="s">
        <v>250</v>
      </c>
      <c r="T472" s="114"/>
      <c r="U472" s="114"/>
    </row>
    <row r="473" spans="1:21" s="115" customFormat="1" ht="45.75" customHeight="1">
      <c r="A473" s="82"/>
      <c r="B473" s="110"/>
      <c r="C473" s="169"/>
      <c r="D473" s="72"/>
      <c r="E473" s="71"/>
      <c r="F473" s="112" t="s">
        <v>750</v>
      </c>
      <c r="G473" s="94" t="s">
        <v>269</v>
      </c>
      <c r="H473" s="95">
        <v>30</v>
      </c>
      <c r="I473" s="96"/>
      <c r="J473" s="119" t="s">
        <v>254</v>
      </c>
      <c r="K473" s="77"/>
      <c r="L473" s="77"/>
      <c r="M473" s="77"/>
      <c r="N473" s="77"/>
      <c r="O473" s="77">
        <v>20250000</v>
      </c>
      <c r="P473" s="77"/>
      <c r="Q473" s="78">
        <f t="shared" si="27"/>
        <v>20250000</v>
      </c>
      <c r="R473" s="57" t="s">
        <v>400</v>
      </c>
      <c r="S473" s="82" t="s">
        <v>250</v>
      </c>
      <c r="T473" s="114"/>
      <c r="U473" s="114"/>
    </row>
    <row r="474" spans="1:21" s="115" customFormat="1" ht="45.75" customHeight="1">
      <c r="A474" s="82"/>
      <c r="B474" s="110"/>
      <c r="C474" s="169"/>
      <c r="D474" s="72"/>
      <c r="E474" s="71"/>
      <c r="F474" s="112" t="s">
        <v>751</v>
      </c>
      <c r="G474" s="94" t="s">
        <v>752</v>
      </c>
      <c r="H474" s="95">
        <v>20</v>
      </c>
      <c r="I474" s="96" t="s">
        <v>276</v>
      </c>
      <c r="J474" s="119" t="s">
        <v>254</v>
      </c>
      <c r="K474" s="77"/>
      <c r="L474" s="77"/>
      <c r="M474" s="77">
        <f>H474*75000</f>
        <v>1500000</v>
      </c>
      <c r="N474" s="77"/>
      <c r="O474" s="77"/>
      <c r="P474" s="77"/>
      <c r="Q474" s="78">
        <f t="shared" si="27"/>
        <v>1500000</v>
      </c>
      <c r="R474" s="57" t="s">
        <v>400</v>
      </c>
      <c r="S474" s="82" t="s">
        <v>250</v>
      </c>
      <c r="T474" s="114"/>
      <c r="U474" s="114"/>
    </row>
    <row r="475" spans="1:21" s="115" customFormat="1" ht="45.75" customHeight="1">
      <c r="A475" s="82"/>
      <c r="B475" s="110"/>
      <c r="C475" s="169"/>
      <c r="D475" s="72"/>
      <c r="E475" s="71"/>
      <c r="F475" s="112" t="s">
        <v>753</v>
      </c>
      <c r="G475" s="94" t="s">
        <v>275</v>
      </c>
      <c r="H475" s="95">
        <v>32</v>
      </c>
      <c r="I475" s="96" t="s">
        <v>276</v>
      </c>
      <c r="J475" s="119" t="s">
        <v>254</v>
      </c>
      <c r="K475" s="77">
        <f>(20*75000)+(12*675000)</f>
        <v>9600000</v>
      </c>
      <c r="L475" s="77"/>
      <c r="M475" s="77"/>
      <c r="N475" s="77"/>
      <c r="O475" s="77"/>
      <c r="P475" s="77"/>
      <c r="Q475" s="78">
        <f t="shared" si="27"/>
        <v>9600000</v>
      </c>
      <c r="R475" s="57" t="s">
        <v>400</v>
      </c>
      <c r="S475" s="82" t="s">
        <v>250</v>
      </c>
      <c r="T475" s="114"/>
      <c r="U475" s="114"/>
    </row>
    <row r="476" spans="1:21" s="115" customFormat="1" ht="45.75" customHeight="1">
      <c r="A476" s="82"/>
      <c r="B476" s="110"/>
      <c r="C476" s="169"/>
      <c r="D476" s="72"/>
      <c r="E476" s="71"/>
      <c r="F476" s="112" t="s">
        <v>754</v>
      </c>
      <c r="G476" s="94" t="s">
        <v>271</v>
      </c>
      <c r="H476" s="95">
        <v>1</v>
      </c>
      <c r="I476" s="96" t="s">
        <v>385</v>
      </c>
      <c r="J476" s="119" t="s">
        <v>254</v>
      </c>
      <c r="K476" s="77"/>
      <c r="L476" s="77"/>
      <c r="M476" s="77">
        <v>750000</v>
      </c>
      <c r="N476" s="77"/>
      <c r="O476" s="77"/>
      <c r="P476" s="77"/>
      <c r="Q476" s="78">
        <f t="shared" si="27"/>
        <v>750000</v>
      </c>
      <c r="R476" s="57" t="s">
        <v>400</v>
      </c>
      <c r="S476" s="82" t="s">
        <v>250</v>
      </c>
      <c r="T476" s="114"/>
      <c r="U476" s="114"/>
    </row>
    <row r="477" spans="1:21" s="115" customFormat="1" ht="45.75" customHeight="1">
      <c r="A477" s="82"/>
      <c r="B477" s="110"/>
      <c r="C477" s="169"/>
      <c r="D477" s="72"/>
      <c r="E477" s="71"/>
      <c r="F477" s="112" t="s">
        <v>755</v>
      </c>
      <c r="G477" s="94" t="s">
        <v>271</v>
      </c>
      <c r="H477" s="95">
        <v>1</v>
      </c>
      <c r="I477" s="96" t="s">
        <v>385</v>
      </c>
      <c r="J477" s="119" t="s">
        <v>254</v>
      </c>
      <c r="K477" s="77"/>
      <c r="L477" s="77"/>
      <c r="M477" s="77">
        <v>750000</v>
      </c>
      <c r="N477" s="77"/>
      <c r="O477" s="77"/>
      <c r="P477" s="77"/>
      <c r="Q477" s="78">
        <f t="shared" ref="Q477:Q540" si="33">SUM(K477:P477)</f>
        <v>750000</v>
      </c>
      <c r="R477" s="57" t="s">
        <v>400</v>
      </c>
      <c r="S477" s="82" t="s">
        <v>250</v>
      </c>
      <c r="T477" s="114"/>
      <c r="U477" s="114"/>
    </row>
    <row r="478" spans="1:21" s="115" customFormat="1" ht="45.75" customHeight="1">
      <c r="A478" s="82"/>
      <c r="B478" s="110"/>
      <c r="C478" s="169"/>
      <c r="D478" s="72"/>
      <c r="E478" s="71"/>
      <c r="F478" s="112" t="s">
        <v>756</v>
      </c>
      <c r="G478" s="94" t="s">
        <v>264</v>
      </c>
      <c r="H478" s="95">
        <v>40</v>
      </c>
      <c r="I478" s="96" t="s">
        <v>276</v>
      </c>
      <c r="J478" s="119" t="s">
        <v>254</v>
      </c>
      <c r="K478" s="77">
        <f>H478*60000</f>
        <v>2400000</v>
      </c>
      <c r="L478" s="77"/>
      <c r="M478" s="77"/>
      <c r="N478" s="77"/>
      <c r="O478" s="77"/>
      <c r="P478" s="77"/>
      <c r="Q478" s="78">
        <f t="shared" si="33"/>
        <v>2400000</v>
      </c>
      <c r="R478" s="57" t="s">
        <v>400</v>
      </c>
      <c r="S478" s="82" t="s">
        <v>250</v>
      </c>
      <c r="T478" s="114"/>
      <c r="U478" s="114"/>
    </row>
    <row r="479" spans="1:21" s="115" customFormat="1" ht="45.75" customHeight="1">
      <c r="A479" s="82"/>
      <c r="B479" s="110"/>
      <c r="C479" s="169"/>
      <c r="D479" s="72"/>
      <c r="E479" s="71"/>
      <c r="F479" s="112" t="s">
        <v>757</v>
      </c>
      <c r="G479" s="94" t="s">
        <v>265</v>
      </c>
      <c r="H479" s="95">
        <v>1</v>
      </c>
      <c r="I479" s="96" t="s">
        <v>385</v>
      </c>
      <c r="J479" s="119" t="s">
        <v>254</v>
      </c>
      <c r="K479" s="77"/>
      <c r="L479" s="77">
        <v>7000000</v>
      </c>
      <c r="M479" s="77"/>
      <c r="N479" s="77"/>
      <c r="O479" s="77"/>
      <c r="P479" s="77"/>
      <c r="Q479" s="78">
        <f t="shared" si="33"/>
        <v>7000000</v>
      </c>
      <c r="R479" s="57" t="s">
        <v>400</v>
      </c>
      <c r="S479" s="82" t="s">
        <v>250</v>
      </c>
      <c r="T479" s="114"/>
      <c r="U479" s="114"/>
    </row>
    <row r="480" spans="1:21" s="115" customFormat="1" ht="45.75" customHeight="1">
      <c r="A480" s="82"/>
      <c r="B480" s="110"/>
      <c r="C480" s="169"/>
      <c r="D480" s="72"/>
      <c r="E480" s="71"/>
      <c r="F480" s="112" t="s">
        <v>758</v>
      </c>
      <c r="G480" s="94" t="s">
        <v>272</v>
      </c>
      <c r="H480" s="95">
        <v>1</v>
      </c>
      <c r="I480" s="96" t="s">
        <v>385</v>
      </c>
      <c r="J480" s="119" t="s">
        <v>254</v>
      </c>
      <c r="K480" s="77">
        <v>70000000</v>
      </c>
      <c r="L480" s="77"/>
      <c r="M480" s="77"/>
      <c r="N480" s="77"/>
      <c r="O480" s="77"/>
      <c r="P480" s="77"/>
      <c r="Q480" s="78">
        <f t="shared" si="33"/>
        <v>70000000</v>
      </c>
      <c r="R480" s="57" t="s">
        <v>400</v>
      </c>
      <c r="S480" s="82" t="s">
        <v>250</v>
      </c>
      <c r="T480" s="114"/>
      <c r="U480" s="114"/>
    </row>
    <row r="481" spans="1:21" s="115" customFormat="1" ht="45.75" customHeight="1">
      <c r="A481" s="82"/>
      <c r="B481" s="110"/>
      <c r="C481" s="169"/>
      <c r="D481" s="72"/>
      <c r="E481" s="71"/>
      <c r="F481" s="112" t="s">
        <v>743</v>
      </c>
      <c r="G481" s="94" t="s">
        <v>272</v>
      </c>
      <c r="H481" s="95">
        <v>15</v>
      </c>
      <c r="I481" s="96" t="s">
        <v>60</v>
      </c>
      <c r="J481" s="119" t="s">
        <v>254</v>
      </c>
      <c r="K481" s="77"/>
      <c r="L481" s="77">
        <f>H481*75000</f>
        <v>1125000</v>
      </c>
      <c r="M481" s="77"/>
      <c r="N481" s="77"/>
      <c r="O481" s="77"/>
      <c r="P481" s="77"/>
      <c r="Q481" s="78">
        <f t="shared" si="33"/>
        <v>1125000</v>
      </c>
      <c r="R481" s="57" t="s">
        <v>400</v>
      </c>
      <c r="S481" s="82" t="s">
        <v>250</v>
      </c>
      <c r="T481" s="114"/>
      <c r="U481" s="114"/>
    </row>
    <row r="482" spans="1:21" s="115" customFormat="1" ht="45.75" customHeight="1">
      <c r="A482" s="82"/>
      <c r="B482" s="110"/>
      <c r="C482" s="169"/>
      <c r="D482" s="72"/>
      <c r="E482" s="71"/>
      <c r="F482" s="112" t="s">
        <v>759</v>
      </c>
      <c r="G482" s="94" t="s">
        <v>272</v>
      </c>
      <c r="H482" s="95">
        <v>1</v>
      </c>
      <c r="I482" s="96" t="s">
        <v>255</v>
      </c>
      <c r="J482" s="119" t="s">
        <v>254</v>
      </c>
      <c r="K482" s="77"/>
      <c r="L482" s="77">
        <v>4500000</v>
      </c>
      <c r="M482" s="77"/>
      <c r="N482" s="77"/>
      <c r="O482" s="77"/>
      <c r="P482" s="77"/>
      <c r="Q482" s="78">
        <f t="shared" si="33"/>
        <v>4500000</v>
      </c>
      <c r="R482" s="57" t="s">
        <v>400</v>
      </c>
      <c r="S482" s="82" t="s">
        <v>250</v>
      </c>
      <c r="T482" s="114"/>
      <c r="U482" s="114"/>
    </row>
    <row r="483" spans="1:21" s="115" customFormat="1" ht="45.75" customHeight="1">
      <c r="A483" s="82"/>
      <c r="B483" s="110"/>
      <c r="C483" s="169"/>
      <c r="D483" s="72"/>
      <c r="E483" s="71"/>
      <c r="F483" s="112" t="s">
        <v>760</v>
      </c>
      <c r="G483" s="94" t="s">
        <v>227</v>
      </c>
      <c r="H483" s="95">
        <v>20</v>
      </c>
      <c r="I483" s="96"/>
      <c r="J483" s="119" t="s">
        <v>254</v>
      </c>
      <c r="K483" s="77">
        <f>H483*75000</f>
        <v>1500000</v>
      </c>
      <c r="L483" s="77"/>
      <c r="M483" s="77"/>
      <c r="N483" s="77"/>
      <c r="O483" s="77"/>
      <c r="P483" s="77"/>
      <c r="Q483" s="78">
        <f t="shared" si="33"/>
        <v>1500000</v>
      </c>
      <c r="R483" s="57" t="s">
        <v>400</v>
      </c>
      <c r="S483" s="82" t="s">
        <v>250</v>
      </c>
      <c r="T483" s="114"/>
      <c r="U483" s="114"/>
    </row>
    <row r="484" spans="1:21" s="115" customFormat="1" ht="45.75" customHeight="1">
      <c r="A484" s="82"/>
      <c r="B484" s="110"/>
      <c r="C484" s="169"/>
      <c r="D484" s="72"/>
      <c r="E484" s="71"/>
      <c r="F484" s="112" t="s">
        <v>745</v>
      </c>
      <c r="G484" s="94" t="s">
        <v>227</v>
      </c>
      <c r="H484" s="95">
        <v>13</v>
      </c>
      <c r="I484" s="96"/>
      <c r="J484" s="119" t="s">
        <v>254</v>
      </c>
      <c r="K484" s="77">
        <f>675000*H484</f>
        <v>8775000</v>
      </c>
      <c r="L484" s="77"/>
      <c r="M484" s="77"/>
      <c r="N484" s="77"/>
      <c r="O484" s="77"/>
      <c r="P484" s="77"/>
      <c r="Q484" s="78">
        <f t="shared" si="33"/>
        <v>8775000</v>
      </c>
      <c r="R484" s="57" t="s">
        <v>400</v>
      </c>
      <c r="S484" s="82" t="s">
        <v>250</v>
      </c>
      <c r="T484" s="114"/>
      <c r="U484" s="114"/>
    </row>
    <row r="485" spans="1:21" s="115" customFormat="1" ht="45.75" customHeight="1">
      <c r="A485" s="82"/>
      <c r="B485" s="110"/>
      <c r="C485" s="169"/>
      <c r="D485" s="72"/>
      <c r="E485" s="71"/>
      <c r="F485" s="112" t="s">
        <v>761</v>
      </c>
      <c r="G485" s="94" t="s">
        <v>227</v>
      </c>
      <c r="H485" s="95">
        <v>1</v>
      </c>
      <c r="I485" s="96" t="s">
        <v>255</v>
      </c>
      <c r="J485" s="119" t="s">
        <v>254</v>
      </c>
      <c r="K485" s="77">
        <v>70000000</v>
      </c>
      <c r="L485" s="77"/>
      <c r="M485" s="77"/>
      <c r="N485" s="77"/>
      <c r="O485" s="77"/>
      <c r="P485" s="77"/>
      <c r="Q485" s="78">
        <f t="shared" si="33"/>
        <v>70000000</v>
      </c>
      <c r="R485" s="57" t="s">
        <v>400</v>
      </c>
      <c r="S485" s="82" t="s">
        <v>250</v>
      </c>
      <c r="T485" s="114"/>
      <c r="U485" s="114"/>
    </row>
    <row r="486" spans="1:21" s="115" customFormat="1" ht="45.75" customHeight="1">
      <c r="A486" s="82"/>
      <c r="B486" s="110"/>
      <c r="C486" s="169"/>
      <c r="D486" s="72"/>
      <c r="E486" s="71"/>
      <c r="F486" s="112" t="s">
        <v>762</v>
      </c>
      <c r="G486" s="94" t="s">
        <v>227</v>
      </c>
      <c r="H486" s="95">
        <v>1</v>
      </c>
      <c r="I486" s="96" t="s">
        <v>255</v>
      </c>
      <c r="J486" s="119" t="s">
        <v>254</v>
      </c>
      <c r="K486" s="77">
        <v>1500000</v>
      </c>
      <c r="L486" s="77"/>
      <c r="M486" s="77"/>
      <c r="N486" s="77"/>
      <c r="O486" s="77"/>
      <c r="P486" s="77"/>
      <c r="Q486" s="78">
        <f t="shared" si="33"/>
        <v>1500000</v>
      </c>
      <c r="R486" s="57" t="s">
        <v>21</v>
      </c>
      <c r="S486" s="82" t="s">
        <v>250</v>
      </c>
      <c r="T486" s="114"/>
      <c r="U486" s="114"/>
    </row>
    <row r="487" spans="1:21" s="115" customFormat="1" ht="45.75" customHeight="1">
      <c r="A487" s="82"/>
      <c r="B487" s="110"/>
      <c r="C487" s="169"/>
      <c r="D487" s="72"/>
      <c r="E487" s="71"/>
      <c r="F487" s="112" t="s">
        <v>763</v>
      </c>
      <c r="G487" s="94" t="s">
        <v>267</v>
      </c>
      <c r="H487" s="95">
        <v>1</v>
      </c>
      <c r="I487" s="96" t="s">
        <v>276</v>
      </c>
      <c r="J487" s="119" t="s">
        <v>254</v>
      </c>
      <c r="K487" s="77"/>
      <c r="L487" s="77">
        <v>750000</v>
      </c>
      <c r="M487" s="77"/>
      <c r="N487" s="77"/>
      <c r="O487" s="77"/>
      <c r="P487" s="77"/>
      <c r="Q487" s="78">
        <f t="shared" si="33"/>
        <v>750000</v>
      </c>
      <c r="R487" s="57" t="s">
        <v>21</v>
      </c>
      <c r="S487" s="82" t="s">
        <v>250</v>
      </c>
      <c r="T487" s="114"/>
      <c r="U487" s="114"/>
    </row>
    <row r="488" spans="1:21" s="115" customFormat="1" ht="45.75" customHeight="1">
      <c r="A488" s="82"/>
      <c r="B488" s="110"/>
      <c r="C488" s="169"/>
      <c r="D488" s="72"/>
      <c r="E488" s="71"/>
      <c r="F488" s="133" t="s">
        <v>764</v>
      </c>
      <c r="G488" s="94"/>
      <c r="H488" s="95"/>
      <c r="I488" s="96"/>
      <c r="J488" s="119"/>
      <c r="K488" s="77"/>
      <c r="L488" s="77"/>
      <c r="M488" s="77"/>
      <c r="N488" s="77"/>
      <c r="O488" s="77"/>
      <c r="P488" s="77"/>
      <c r="Q488" s="78">
        <f t="shared" si="33"/>
        <v>0</v>
      </c>
      <c r="R488" s="57"/>
      <c r="S488" s="117"/>
      <c r="T488" s="114"/>
      <c r="U488" s="114"/>
    </row>
    <row r="489" spans="1:21" s="115" customFormat="1" ht="45.75" customHeight="1">
      <c r="A489" s="82"/>
      <c r="B489" s="110"/>
      <c r="C489" s="169"/>
      <c r="D489" s="72"/>
      <c r="E489" s="71"/>
      <c r="F489" s="118" t="s">
        <v>764</v>
      </c>
      <c r="G489" s="94" t="s">
        <v>262</v>
      </c>
      <c r="H489" s="95"/>
      <c r="I489" s="96"/>
      <c r="J489" s="119" t="s">
        <v>254</v>
      </c>
      <c r="K489" s="170">
        <v>5000000</v>
      </c>
      <c r="L489" s="170">
        <v>5000000</v>
      </c>
      <c r="M489" s="170">
        <v>5000000</v>
      </c>
      <c r="N489" s="170">
        <v>5000000</v>
      </c>
      <c r="O489" s="170">
        <v>5000000</v>
      </c>
      <c r="P489" s="170">
        <v>5000000</v>
      </c>
      <c r="Q489" s="78">
        <f t="shared" si="33"/>
        <v>30000000</v>
      </c>
      <c r="R489" s="57" t="s">
        <v>400</v>
      </c>
      <c r="S489" s="82" t="s">
        <v>250</v>
      </c>
      <c r="T489" s="114"/>
      <c r="U489" s="114"/>
    </row>
    <row r="490" spans="1:21" s="115" customFormat="1" ht="45.75" customHeight="1">
      <c r="A490" s="82"/>
      <c r="B490" s="110"/>
      <c r="C490" s="169"/>
      <c r="D490" s="72"/>
      <c r="E490" s="71"/>
      <c r="F490" s="133" t="s">
        <v>58</v>
      </c>
      <c r="G490" s="94"/>
      <c r="H490" s="95"/>
      <c r="I490" s="96"/>
      <c r="J490" s="119"/>
      <c r="K490" s="171"/>
      <c r="L490" s="171"/>
      <c r="M490" s="171"/>
      <c r="N490" s="171"/>
      <c r="O490" s="171"/>
      <c r="P490" s="171"/>
      <c r="Q490" s="78">
        <f t="shared" si="33"/>
        <v>0</v>
      </c>
      <c r="R490" s="57"/>
      <c r="S490" s="117"/>
      <c r="T490" s="114"/>
      <c r="U490" s="114"/>
    </row>
    <row r="491" spans="1:21" s="115" customFormat="1" ht="45.75" customHeight="1">
      <c r="A491" s="82"/>
      <c r="B491" s="110"/>
      <c r="C491" s="169"/>
      <c r="D491" s="72"/>
      <c r="E491" s="71"/>
      <c r="F491" s="142" t="s">
        <v>58</v>
      </c>
      <c r="G491" s="94" t="s">
        <v>258</v>
      </c>
      <c r="H491" s="95">
        <v>14</v>
      </c>
      <c r="I491" s="96"/>
      <c r="J491" s="119" t="s">
        <v>254</v>
      </c>
      <c r="K491" s="77">
        <v>7000000</v>
      </c>
      <c r="L491" s="77">
        <v>7000000</v>
      </c>
      <c r="M491" s="77">
        <v>7000000</v>
      </c>
      <c r="N491" s="77">
        <v>7000000</v>
      </c>
      <c r="O491" s="77">
        <v>7000000</v>
      </c>
      <c r="P491" s="77">
        <v>7000000</v>
      </c>
      <c r="Q491" s="78">
        <f t="shared" si="33"/>
        <v>42000000</v>
      </c>
      <c r="R491" s="57" t="s">
        <v>400</v>
      </c>
      <c r="S491" s="82" t="s">
        <v>250</v>
      </c>
      <c r="T491" s="114"/>
      <c r="U491" s="114"/>
    </row>
    <row r="492" spans="1:21" s="115" customFormat="1" ht="45.75" customHeight="1">
      <c r="A492" s="82"/>
      <c r="B492" s="110"/>
      <c r="C492" s="169"/>
      <c r="D492" s="72"/>
      <c r="E492" s="71"/>
      <c r="F492" s="133" t="s">
        <v>765</v>
      </c>
      <c r="G492" s="94"/>
      <c r="H492" s="95"/>
      <c r="I492" s="96"/>
      <c r="J492" s="119"/>
      <c r="K492" s="171"/>
      <c r="L492" s="171"/>
      <c r="M492" s="171"/>
      <c r="N492" s="171"/>
      <c r="O492" s="171"/>
      <c r="P492" s="171"/>
      <c r="Q492" s="78">
        <f t="shared" si="33"/>
        <v>0</v>
      </c>
      <c r="R492" s="57"/>
      <c r="S492" s="117"/>
      <c r="T492" s="114"/>
      <c r="U492" s="114"/>
    </row>
    <row r="493" spans="1:21" s="115" customFormat="1" ht="45.75" customHeight="1">
      <c r="A493" s="82"/>
      <c r="B493" s="110"/>
      <c r="C493" s="169"/>
      <c r="D493" s="72"/>
      <c r="E493" s="71"/>
      <c r="F493" s="93" t="s">
        <v>766</v>
      </c>
      <c r="G493" s="119" t="s">
        <v>551</v>
      </c>
      <c r="H493" s="146">
        <v>1</v>
      </c>
      <c r="I493" s="82"/>
      <c r="J493" s="119" t="s">
        <v>254</v>
      </c>
      <c r="K493" s="170">
        <v>1000000</v>
      </c>
      <c r="L493" s="170">
        <v>1000000</v>
      </c>
      <c r="M493" s="170">
        <v>1000000</v>
      </c>
      <c r="N493" s="170">
        <v>1000000</v>
      </c>
      <c r="O493" s="170">
        <v>1000000</v>
      </c>
      <c r="P493" s="170">
        <v>1000000</v>
      </c>
      <c r="Q493" s="78">
        <f t="shared" si="33"/>
        <v>6000000</v>
      </c>
      <c r="R493" s="57" t="s">
        <v>21</v>
      </c>
      <c r="S493" s="82" t="s">
        <v>250</v>
      </c>
      <c r="T493" s="114"/>
      <c r="U493" s="114"/>
    </row>
    <row r="494" spans="1:21" ht="75" customHeight="1">
      <c r="A494" s="82"/>
      <c r="B494" s="110"/>
      <c r="C494" s="56"/>
      <c r="D494" s="70" t="s">
        <v>182</v>
      </c>
      <c r="E494" s="71"/>
      <c r="F494" s="133" t="s">
        <v>186</v>
      </c>
      <c r="G494" s="119"/>
      <c r="H494" s="146"/>
      <c r="I494" s="82"/>
      <c r="J494" s="119"/>
      <c r="K494" s="77"/>
      <c r="L494" s="77"/>
      <c r="M494" s="77"/>
      <c r="N494" s="77"/>
      <c r="O494" s="77"/>
      <c r="P494" s="77"/>
      <c r="Q494" s="78">
        <f t="shared" si="33"/>
        <v>0</v>
      </c>
      <c r="R494" s="57"/>
      <c r="S494" s="129"/>
      <c r="T494" s="129"/>
      <c r="U494" s="129"/>
    </row>
    <row r="495" spans="1:21" s="115" customFormat="1" ht="42" customHeight="1">
      <c r="A495" s="82"/>
      <c r="B495" s="110"/>
      <c r="C495" s="57"/>
      <c r="D495" s="112"/>
      <c r="E495" s="71"/>
      <c r="F495" s="93" t="s">
        <v>767</v>
      </c>
      <c r="G495" s="119" t="s">
        <v>551</v>
      </c>
      <c r="H495" s="146">
        <v>1</v>
      </c>
      <c r="I495" s="82" t="s">
        <v>255</v>
      </c>
      <c r="J495" s="119" t="s">
        <v>254</v>
      </c>
      <c r="K495" s="77">
        <v>5000000</v>
      </c>
      <c r="L495" s="77"/>
      <c r="M495" s="77"/>
      <c r="N495" s="77"/>
      <c r="O495" s="77"/>
      <c r="P495" s="77"/>
      <c r="Q495" s="78">
        <f t="shared" si="33"/>
        <v>5000000</v>
      </c>
      <c r="R495" s="57" t="s">
        <v>21</v>
      </c>
      <c r="S495" s="82" t="s">
        <v>250</v>
      </c>
      <c r="T495" s="117"/>
      <c r="U495" s="117"/>
    </row>
    <row r="496" spans="1:21" s="115" customFormat="1" ht="42" customHeight="1">
      <c r="A496" s="82"/>
      <c r="B496" s="110"/>
      <c r="C496" s="56"/>
      <c r="D496" s="72"/>
      <c r="E496" s="71"/>
      <c r="F496" s="112" t="s">
        <v>768</v>
      </c>
      <c r="G496" s="94" t="s">
        <v>551</v>
      </c>
      <c r="H496" s="95">
        <v>1</v>
      </c>
      <c r="I496" s="96" t="s">
        <v>769</v>
      </c>
      <c r="J496" s="119" t="s">
        <v>254</v>
      </c>
      <c r="K496" s="77"/>
      <c r="L496" s="170">
        <v>7500000</v>
      </c>
      <c r="M496" s="77"/>
      <c r="N496" s="77"/>
      <c r="O496" s="77"/>
      <c r="P496" s="77"/>
      <c r="Q496" s="78">
        <f t="shared" si="33"/>
        <v>7500000</v>
      </c>
      <c r="R496" s="57" t="s">
        <v>21</v>
      </c>
      <c r="S496" s="82" t="s">
        <v>250</v>
      </c>
      <c r="T496" s="117"/>
      <c r="U496" s="117"/>
    </row>
    <row r="497" spans="1:21" s="115" customFormat="1" ht="42" customHeight="1">
      <c r="A497" s="82"/>
      <c r="B497" s="110"/>
      <c r="C497" s="56"/>
      <c r="D497" s="72"/>
      <c r="E497" s="71"/>
      <c r="F497" s="110" t="s">
        <v>770</v>
      </c>
      <c r="G497" s="94" t="s">
        <v>284</v>
      </c>
      <c r="H497" s="95">
        <v>1</v>
      </c>
      <c r="I497" s="96" t="s">
        <v>771</v>
      </c>
      <c r="J497" s="119" t="s">
        <v>254</v>
      </c>
      <c r="K497" s="77"/>
      <c r="L497" s="77">
        <v>7500000</v>
      </c>
      <c r="M497" s="77"/>
      <c r="N497" s="77"/>
      <c r="O497" s="77"/>
      <c r="P497" s="77"/>
      <c r="Q497" s="78">
        <f t="shared" si="33"/>
        <v>7500000</v>
      </c>
      <c r="R497" s="57" t="s">
        <v>21</v>
      </c>
      <c r="S497" s="82" t="s">
        <v>250</v>
      </c>
      <c r="T497" s="117"/>
      <c r="U497" s="117"/>
    </row>
    <row r="498" spans="1:21" s="115" customFormat="1" ht="42" customHeight="1">
      <c r="A498" s="82"/>
      <c r="B498" s="110"/>
      <c r="C498" s="56"/>
      <c r="D498" s="72"/>
      <c r="E498" s="71"/>
      <c r="F498" s="110" t="s">
        <v>772</v>
      </c>
      <c r="G498" s="94" t="s">
        <v>284</v>
      </c>
      <c r="H498" s="95">
        <v>2</v>
      </c>
      <c r="I498" s="96" t="s">
        <v>385</v>
      </c>
      <c r="J498" s="119" t="s">
        <v>254</v>
      </c>
      <c r="K498" s="77"/>
      <c r="L498" s="77"/>
      <c r="M498" s="77"/>
      <c r="N498" s="77"/>
      <c r="O498" s="77"/>
      <c r="P498" s="77">
        <v>2400000</v>
      </c>
      <c r="Q498" s="78">
        <f t="shared" si="33"/>
        <v>2400000</v>
      </c>
      <c r="R498" s="57" t="s">
        <v>21</v>
      </c>
      <c r="S498" s="82" t="s">
        <v>250</v>
      </c>
      <c r="T498" s="117"/>
      <c r="U498" s="117"/>
    </row>
    <row r="499" spans="1:21" s="115" customFormat="1" ht="42" customHeight="1">
      <c r="A499" s="82"/>
      <c r="B499" s="110"/>
      <c r="C499" s="56"/>
      <c r="D499" s="72"/>
      <c r="E499" s="71"/>
      <c r="F499" s="110" t="s">
        <v>773</v>
      </c>
      <c r="G499" s="94" t="s">
        <v>284</v>
      </c>
      <c r="H499" s="95">
        <v>1</v>
      </c>
      <c r="I499" s="96" t="s">
        <v>385</v>
      </c>
      <c r="J499" s="119" t="s">
        <v>254</v>
      </c>
      <c r="K499" s="77"/>
      <c r="L499" s="105"/>
      <c r="M499" s="77"/>
      <c r="N499" s="77"/>
      <c r="O499" s="77"/>
      <c r="P499" s="77">
        <v>750000</v>
      </c>
      <c r="Q499" s="78">
        <f t="shared" si="33"/>
        <v>750000</v>
      </c>
      <c r="R499" s="57" t="s">
        <v>21</v>
      </c>
      <c r="S499" s="82" t="s">
        <v>250</v>
      </c>
      <c r="T499" s="117"/>
      <c r="U499" s="117"/>
    </row>
    <row r="500" spans="1:21" s="115" customFormat="1" ht="42" customHeight="1">
      <c r="A500" s="82"/>
      <c r="B500" s="110"/>
      <c r="C500" s="56"/>
      <c r="D500" s="72"/>
      <c r="E500" s="71"/>
      <c r="F500" s="112" t="s">
        <v>774</v>
      </c>
      <c r="G500" s="94" t="s">
        <v>269</v>
      </c>
      <c r="H500" s="95">
        <v>1</v>
      </c>
      <c r="I500" s="96" t="s">
        <v>769</v>
      </c>
      <c r="J500" s="119" t="s">
        <v>254</v>
      </c>
      <c r="K500" s="77">
        <v>7500000</v>
      </c>
      <c r="L500" s="77"/>
      <c r="M500" s="77"/>
      <c r="N500" s="105"/>
      <c r="O500" s="77"/>
      <c r="P500" s="77"/>
      <c r="Q500" s="78">
        <f t="shared" si="33"/>
        <v>7500000</v>
      </c>
      <c r="R500" s="57" t="s">
        <v>21</v>
      </c>
      <c r="S500" s="82" t="s">
        <v>250</v>
      </c>
      <c r="T500" s="117"/>
      <c r="U500" s="117"/>
    </row>
    <row r="501" spans="1:21" s="115" customFormat="1" ht="42" customHeight="1">
      <c r="A501" s="82"/>
      <c r="B501" s="110"/>
      <c r="C501" s="56"/>
      <c r="D501" s="72"/>
      <c r="E501" s="71"/>
      <c r="F501" s="112" t="s">
        <v>775</v>
      </c>
      <c r="G501" s="93" t="s">
        <v>269</v>
      </c>
      <c r="H501" s="95">
        <v>1</v>
      </c>
      <c r="I501" s="96" t="s">
        <v>255</v>
      </c>
      <c r="J501" s="119" t="s">
        <v>254</v>
      </c>
      <c r="K501" s="77"/>
      <c r="L501" s="77">
        <v>250000</v>
      </c>
      <c r="M501" s="77"/>
      <c r="N501" s="77"/>
      <c r="O501" s="77"/>
      <c r="P501" s="77"/>
      <c r="Q501" s="78">
        <f t="shared" si="33"/>
        <v>250000</v>
      </c>
      <c r="R501" s="57" t="s">
        <v>21</v>
      </c>
      <c r="S501" s="82" t="s">
        <v>250</v>
      </c>
      <c r="T501" s="117"/>
      <c r="U501" s="117"/>
    </row>
    <row r="502" spans="1:21" s="115" customFormat="1" ht="42" customHeight="1">
      <c r="A502" s="82"/>
      <c r="B502" s="110"/>
      <c r="C502" s="56"/>
      <c r="D502" s="72"/>
      <c r="E502" s="71"/>
      <c r="F502" s="112" t="s">
        <v>776</v>
      </c>
      <c r="G502" s="93" t="s">
        <v>561</v>
      </c>
      <c r="H502" s="95">
        <v>1</v>
      </c>
      <c r="I502" s="96" t="s">
        <v>769</v>
      </c>
      <c r="J502" s="119" t="s">
        <v>254</v>
      </c>
      <c r="K502" s="77"/>
      <c r="L502" s="77"/>
      <c r="M502" s="159"/>
      <c r="N502" s="159"/>
      <c r="O502" s="77">
        <v>3000000</v>
      </c>
      <c r="P502" s="77"/>
      <c r="Q502" s="78">
        <f t="shared" si="33"/>
        <v>3000000</v>
      </c>
      <c r="R502" s="57" t="s">
        <v>21</v>
      </c>
      <c r="S502" s="82" t="s">
        <v>250</v>
      </c>
      <c r="T502" s="117"/>
      <c r="U502" s="117"/>
    </row>
    <row r="503" spans="1:21" s="115" customFormat="1" ht="42" customHeight="1">
      <c r="A503" s="82"/>
      <c r="B503" s="110"/>
      <c r="C503" s="56"/>
      <c r="D503" s="72"/>
      <c r="E503" s="71"/>
      <c r="F503" s="110" t="s">
        <v>777</v>
      </c>
      <c r="G503" s="93" t="s">
        <v>271</v>
      </c>
      <c r="H503" s="146">
        <v>1</v>
      </c>
      <c r="I503" s="96" t="s">
        <v>771</v>
      </c>
      <c r="J503" s="119" t="s">
        <v>254</v>
      </c>
      <c r="K503" s="77"/>
      <c r="L503" s="77"/>
      <c r="M503" s="159"/>
      <c r="N503" s="159"/>
      <c r="O503" s="77">
        <v>4500000</v>
      </c>
      <c r="P503" s="77"/>
      <c r="Q503" s="78">
        <f t="shared" si="33"/>
        <v>4500000</v>
      </c>
      <c r="R503" s="57" t="s">
        <v>21</v>
      </c>
      <c r="S503" s="82" t="s">
        <v>250</v>
      </c>
      <c r="T503" s="117"/>
      <c r="U503" s="117"/>
    </row>
    <row r="504" spans="1:21" s="115" customFormat="1" ht="42" customHeight="1">
      <c r="A504" s="82"/>
      <c r="B504" s="110"/>
      <c r="C504" s="56"/>
      <c r="D504" s="72"/>
      <c r="E504" s="71"/>
      <c r="F504" s="110" t="s">
        <v>778</v>
      </c>
      <c r="G504" s="93" t="s">
        <v>271</v>
      </c>
      <c r="H504" s="146">
        <v>1</v>
      </c>
      <c r="I504" s="96" t="s">
        <v>769</v>
      </c>
      <c r="J504" s="119" t="s">
        <v>254</v>
      </c>
      <c r="K504" s="77"/>
      <c r="L504" s="77">
        <v>7500000</v>
      </c>
      <c r="M504" s="159"/>
      <c r="N504" s="159"/>
      <c r="O504" s="159"/>
      <c r="P504" s="77"/>
      <c r="Q504" s="78">
        <f t="shared" si="33"/>
        <v>7500000</v>
      </c>
      <c r="R504" s="57" t="s">
        <v>21</v>
      </c>
      <c r="S504" s="82" t="s">
        <v>250</v>
      </c>
      <c r="T504" s="117"/>
      <c r="U504" s="117"/>
    </row>
    <row r="505" spans="1:21" s="115" customFormat="1" ht="42" customHeight="1">
      <c r="A505" s="82"/>
      <c r="B505" s="110"/>
      <c r="C505" s="56"/>
      <c r="D505" s="72"/>
      <c r="E505" s="71"/>
      <c r="F505" s="110" t="s">
        <v>779</v>
      </c>
      <c r="G505" s="93" t="s">
        <v>271</v>
      </c>
      <c r="H505" s="146">
        <v>1</v>
      </c>
      <c r="I505" s="96" t="s">
        <v>769</v>
      </c>
      <c r="J505" s="119" t="s">
        <v>254</v>
      </c>
      <c r="K505" s="77"/>
      <c r="L505" s="77"/>
      <c r="M505" s="170">
        <v>3500000</v>
      </c>
      <c r="N505" s="159"/>
      <c r="O505" s="159"/>
      <c r="P505" s="77"/>
      <c r="Q505" s="78">
        <f t="shared" si="33"/>
        <v>3500000</v>
      </c>
      <c r="R505" s="57" t="s">
        <v>21</v>
      </c>
      <c r="S505" s="82" t="s">
        <v>250</v>
      </c>
      <c r="T505" s="117"/>
      <c r="U505" s="117"/>
    </row>
    <row r="506" spans="1:21" s="115" customFormat="1" ht="42" customHeight="1">
      <c r="A506" s="82"/>
      <c r="B506" s="110"/>
      <c r="C506" s="56"/>
      <c r="D506" s="72"/>
      <c r="E506" s="71"/>
      <c r="F506" s="110" t="s">
        <v>780</v>
      </c>
      <c r="G506" s="93" t="s">
        <v>264</v>
      </c>
      <c r="H506" s="146">
        <v>1</v>
      </c>
      <c r="I506" s="96" t="s">
        <v>769</v>
      </c>
      <c r="J506" s="119" t="s">
        <v>254</v>
      </c>
      <c r="K506" s="77">
        <f>1250000</f>
        <v>1250000</v>
      </c>
      <c r="L506" s="77"/>
      <c r="M506" s="159"/>
      <c r="N506" s="159"/>
      <c r="O506" s="159"/>
      <c r="P506" s="77"/>
      <c r="Q506" s="78">
        <f t="shared" si="33"/>
        <v>1250000</v>
      </c>
      <c r="R506" s="57" t="s">
        <v>21</v>
      </c>
      <c r="S506" s="82" t="s">
        <v>250</v>
      </c>
      <c r="T506" s="117"/>
      <c r="U506" s="117"/>
    </row>
    <row r="507" spans="1:21" s="115" customFormat="1" ht="42" customHeight="1">
      <c r="A507" s="82"/>
      <c r="B507" s="110"/>
      <c r="C507" s="56"/>
      <c r="D507" s="72"/>
      <c r="E507" s="71"/>
      <c r="F507" s="110" t="s">
        <v>781</v>
      </c>
      <c r="G507" s="93" t="s">
        <v>227</v>
      </c>
      <c r="H507" s="146">
        <v>1</v>
      </c>
      <c r="I507" s="96" t="s">
        <v>769</v>
      </c>
      <c r="J507" s="119" t="s">
        <v>254</v>
      </c>
      <c r="K507" s="77">
        <v>7500000</v>
      </c>
      <c r="L507" s="77"/>
      <c r="M507" s="159"/>
      <c r="N507" s="159"/>
      <c r="O507" s="159"/>
      <c r="P507" s="77"/>
      <c r="Q507" s="78">
        <f t="shared" si="33"/>
        <v>7500000</v>
      </c>
      <c r="R507" s="57" t="s">
        <v>21</v>
      </c>
      <c r="S507" s="82" t="s">
        <v>250</v>
      </c>
      <c r="T507" s="117"/>
      <c r="U507" s="117"/>
    </row>
    <row r="508" spans="1:21" s="115" customFormat="1" ht="42" customHeight="1">
      <c r="A508" s="82"/>
      <c r="B508" s="110"/>
      <c r="C508" s="56"/>
      <c r="D508" s="72"/>
      <c r="E508" s="71"/>
      <c r="F508" s="110" t="s">
        <v>782</v>
      </c>
      <c r="G508" s="93" t="s">
        <v>272</v>
      </c>
      <c r="H508" s="146">
        <v>1</v>
      </c>
      <c r="I508" s="96" t="s">
        <v>769</v>
      </c>
      <c r="J508" s="119" t="s">
        <v>254</v>
      </c>
      <c r="K508" s="77"/>
      <c r="L508" s="77">
        <f>120000*12</f>
        <v>1440000</v>
      </c>
      <c r="M508" s="159"/>
      <c r="N508" s="159"/>
      <c r="O508" s="159"/>
      <c r="P508" s="77"/>
      <c r="Q508" s="78">
        <f t="shared" si="33"/>
        <v>1440000</v>
      </c>
      <c r="R508" s="57" t="s">
        <v>21</v>
      </c>
      <c r="S508" s="82" t="s">
        <v>250</v>
      </c>
      <c r="T508" s="117"/>
      <c r="U508" s="117"/>
    </row>
    <row r="509" spans="1:21" s="115" customFormat="1" ht="42" customHeight="1">
      <c r="A509" s="82"/>
      <c r="B509" s="110"/>
      <c r="C509" s="56"/>
      <c r="D509" s="72"/>
      <c r="E509" s="71"/>
      <c r="F509" s="110" t="s">
        <v>783</v>
      </c>
      <c r="G509" s="93" t="s">
        <v>267</v>
      </c>
      <c r="H509" s="146">
        <v>1</v>
      </c>
      <c r="I509" s="96" t="s">
        <v>255</v>
      </c>
      <c r="J509" s="119" t="s">
        <v>254</v>
      </c>
      <c r="K509" s="77"/>
      <c r="L509" s="77">
        <v>1440000</v>
      </c>
      <c r="M509" s="159"/>
      <c r="N509" s="159"/>
      <c r="O509" s="159"/>
      <c r="P509" s="77"/>
      <c r="Q509" s="78">
        <f t="shared" si="33"/>
        <v>1440000</v>
      </c>
      <c r="R509" s="57" t="s">
        <v>21</v>
      </c>
      <c r="S509" s="82" t="s">
        <v>250</v>
      </c>
      <c r="T509" s="117"/>
      <c r="U509" s="117"/>
    </row>
    <row r="510" spans="1:21" s="115" customFormat="1" ht="42" customHeight="1">
      <c r="A510" s="82"/>
      <c r="B510" s="110"/>
      <c r="C510" s="57"/>
      <c r="D510" s="85"/>
      <c r="E510" s="71" t="s">
        <v>292</v>
      </c>
      <c r="F510" s="133" t="s">
        <v>184</v>
      </c>
      <c r="G510" s="94"/>
      <c r="H510" s="95"/>
      <c r="I510" s="96"/>
      <c r="J510" s="119" t="s">
        <v>254</v>
      </c>
      <c r="K510" s="77"/>
      <c r="L510" s="77"/>
      <c r="M510" s="105"/>
      <c r="N510" s="77"/>
      <c r="O510" s="77"/>
      <c r="P510" s="77"/>
      <c r="Q510" s="78">
        <f t="shared" si="33"/>
        <v>0</v>
      </c>
      <c r="R510" s="57"/>
      <c r="S510" s="117"/>
      <c r="T510" s="117"/>
      <c r="U510" s="117"/>
    </row>
    <row r="511" spans="1:21" s="115" customFormat="1" ht="42" customHeight="1">
      <c r="A511" s="82"/>
      <c r="B511" s="110"/>
      <c r="C511" s="57"/>
      <c r="D511" s="85"/>
      <c r="E511" s="71"/>
      <c r="F511" s="112" t="s">
        <v>784</v>
      </c>
      <c r="G511" s="93" t="s">
        <v>275</v>
      </c>
      <c r="H511" s="146">
        <v>1</v>
      </c>
      <c r="I511" s="96" t="s">
        <v>293</v>
      </c>
      <c r="J511" s="119" t="s">
        <v>254</v>
      </c>
      <c r="K511" s="77">
        <v>3500000</v>
      </c>
      <c r="L511" s="77">
        <v>3500000</v>
      </c>
      <c r="M511" s="77">
        <v>3500000</v>
      </c>
      <c r="N511" s="77">
        <v>3500000</v>
      </c>
      <c r="O511" s="77">
        <v>3500000</v>
      </c>
      <c r="P511" s="77">
        <v>3500000</v>
      </c>
      <c r="Q511" s="78">
        <f t="shared" si="33"/>
        <v>21000000</v>
      </c>
      <c r="R511" s="57" t="s">
        <v>397</v>
      </c>
      <c r="S511" s="82" t="s">
        <v>250</v>
      </c>
      <c r="T511" s="117"/>
      <c r="U511" s="117"/>
    </row>
    <row r="512" spans="1:21" s="115" customFormat="1" ht="66.75" customHeight="1">
      <c r="A512" s="82"/>
      <c r="B512" s="110"/>
      <c r="C512" s="57"/>
      <c r="D512" s="85"/>
      <c r="E512" s="71" t="s">
        <v>295</v>
      </c>
      <c r="F512" s="133" t="s">
        <v>185</v>
      </c>
      <c r="G512" s="93"/>
      <c r="H512" s="146"/>
      <c r="I512" s="96"/>
      <c r="J512" s="119"/>
      <c r="K512" s="77"/>
      <c r="L512" s="105"/>
      <c r="M512" s="77"/>
      <c r="N512" s="77"/>
      <c r="O512" s="77"/>
      <c r="P512" s="77"/>
      <c r="Q512" s="78">
        <f t="shared" si="33"/>
        <v>0</v>
      </c>
      <c r="R512" s="57"/>
      <c r="S512" s="117"/>
      <c r="T512" s="117"/>
      <c r="U512" s="117"/>
    </row>
    <row r="513" spans="1:22" s="115" customFormat="1" ht="42" customHeight="1">
      <c r="A513" s="82"/>
      <c r="B513" s="110"/>
      <c r="C513" s="57"/>
      <c r="D513" s="85"/>
      <c r="E513" s="71"/>
      <c r="F513" s="112" t="s">
        <v>785</v>
      </c>
      <c r="G513" s="93" t="s">
        <v>275</v>
      </c>
      <c r="H513" s="146">
        <v>1</v>
      </c>
      <c r="I513" s="96" t="s">
        <v>293</v>
      </c>
      <c r="J513" s="119" t="s">
        <v>254</v>
      </c>
      <c r="K513" s="77">
        <v>27000000</v>
      </c>
      <c r="L513" s="77">
        <v>27000000</v>
      </c>
      <c r="M513" s="77">
        <v>27000000</v>
      </c>
      <c r="N513" s="77">
        <v>27000000</v>
      </c>
      <c r="O513" s="77">
        <v>27000000</v>
      </c>
      <c r="P513" s="77">
        <v>27000000</v>
      </c>
      <c r="Q513" s="78">
        <f t="shared" si="33"/>
        <v>162000000</v>
      </c>
      <c r="R513" s="57" t="s">
        <v>21</v>
      </c>
      <c r="S513" s="82" t="s">
        <v>250</v>
      </c>
      <c r="T513" s="117"/>
      <c r="U513" s="117"/>
    </row>
    <row r="514" spans="1:22" s="115" customFormat="1" ht="42" customHeight="1">
      <c r="A514" s="82"/>
      <c r="B514" s="110"/>
      <c r="C514" s="57"/>
      <c r="D514" s="85"/>
      <c r="E514" s="71"/>
      <c r="F514" s="112" t="s">
        <v>786</v>
      </c>
      <c r="G514" s="93" t="s">
        <v>561</v>
      </c>
      <c r="H514" s="146">
        <v>1</v>
      </c>
      <c r="I514" s="96" t="s">
        <v>293</v>
      </c>
      <c r="J514" s="119" t="s">
        <v>254</v>
      </c>
      <c r="K514" s="77">
        <v>27000000</v>
      </c>
      <c r="L514" s="77">
        <v>27000000</v>
      </c>
      <c r="M514" s="77">
        <v>27000000</v>
      </c>
      <c r="N514" s="77">
        <v>27000000</v>
      </c>
      <c r="O514" s="77">
        <v>27000000</v>
      </c>
      <c r="P514" s="77">
        <v>27000000</v>
      </c>
      <c r="Q514" s="78">
        <f t="shared" si="33"/>
        <v>162000000</v>
      </c>
      <c r="R514" s="57" t="s">
        <v>21</v>
      </c>
      <c r="S514" s="82" t="s">
        <v>250</v>
      </c>
      <c r="T514" s="117"/>
      <c r="U514" s="117"/>
    </row>
    <row r="515" spans="1:22" s="115" customFormat="1" ht="42" customHeight="1">
      <c r="A515" s="82"/>
      <c r="B515" s="110"/>
      <c r="C515" s="57"/>
      <c r="D515" s="85"/>
      <c r="E515" s="71"/>
      <c r="F515" s="112" t="s">
        <v>787</v>
      </c>
      <c r="G515" s="93" t="s">
        <v>265</v>
      </c>
      <c r="H515" s="146">
        <v>1</v>
      </c>
      <c r="I515" s="96" t="s">
        <v>293</v>
      </c>
      <c r="J515" s="119" t="s">
        <v>254</v>
      </c>
      <c r="K515" s="77">
        <v>27000000</v>
      </c>
      <c r="L515" s="77">
        <v>27000000</v>
      </c>
      <c r="M515" s="77">
        <v>27000000</v>
      </c>
      <c r="N515" s="77">
        <v>27000000</v>
      </c>
      <c r="O515" s="77">
        <v>27000000</v>
      </c>
      <c r="P515" s="77">
        <v>27000000</v>
      </c>
      <c r="Q515" s="78">
        <f t="shared" si="33"/>
        <v>162000000</v>
      </c>
      <c r="R515" s="57" t="s">
        <v>21</v>
      </c>
      <c r="S515" s="82" t="s">
        <v>250</v>
      </c>
      <c r="T515" s="117"/>
      <c r="U515" s="117"/>
    </row>
    <row r="516" spans="1:22" s="115" customFormat="1" ht="59.25" customHeight="1">
      <c r="A516" s="82"/>
      <c r="B516" s="110"/>
      <c r="C516" s="57"/>
      <c r="D516" s="85"/>
      <c r="E516" s="84" t="s">
        <v>296</v>
      </c>
      <c r="F516" s="133" t="s">
        <v>190</v>
      </c>
      <c r="G516" s="94"/>
      <c r="H516" s="95"/>
      <c r="I516" s="96"/>
      <c r="J516" s="119"/>
      <c r="K516" s="77"/>
      <c r="L516" s="77"/>
      <c r="M516" s="77"/>
      <c r="N516" s="159"/>
      <c r="O516" s="77"/>
      <c r="P516" s="77"/>
      <c r="Q516" s="78">
        <f t="shared" si="33"/>
        <v>0</v>
      </c>
      <c r="R516" s="57"/>
      <c r="S516" s="117"/>
      <c r="T516" s="117"/>
      <c r="U516" s="117"/>
    </row>
    <row r="517" spans="1:22" s="116" customFormat="1" ht="42" customHeight="1">
      <c r="A517" s="82"/>
      <c r="B517" s="110"/>
      <c r="C517" s="57"/>
      <c r="D517" s="85"/>
      <c r="E517" s="84"/>
      <c r="F517" s="118" t="s">
        <v>788</v>
      </c>
      <c r="G517" s="94" t="s">
        <v>275</v>
      </c>
      <c r="H517" s="95">
        <v>1</v>
      </c>
      <c r="I517" s="96" t="s">
        <v>27</v>
      </c>
      <c r="J517" s="119" t="s">
        <v>254</v>
      </c>
      <c r="K517" s="77"/>
      <c r="L517" s="77"/>
      <c r="M517" s="77">
        <v>300000000</v>
      </c>
      <c r="N517" s="159"/>
      <c r="O517" s="77"/>
      <c r="P517" s="77"/>
      <c r="Q517" s="78">
        <f t="shared" si="33"/>
        <v>300000000</v>
      </c>
      <c r="R517" s="57" t="s">
        <v>400</v>
      </c>
      <c r="S517" s="82" t="s">
        <v>250</v>
      </c>
      <c r="T517" s="117"/>
      <c r="U517" s="117"/>
      <c r="V517" s="163"/>
    </row>
    <row r="518" spans="1:22" s="116" customFormat="1" ht="42" customHeight="1">
      <c r="A518" s="82"/>
      <c r="B518" s="110"/>
      <c r="C518" s="57"/>
      <c r="D518" s="85"/>
      <c r="E518" s="84"/>
      <c r="F518" s="118" t="s">
        <v>789</v>
      </c>
      <c r="G518" s="94" t="s">
        <v>561</v>
      </c>
      <c r="H518" s="95">
        <v>1</v>
      </c>
      <c r="I518" s="96" t="s">
        <v>41</v>
      </c>
      <c r="J518" s="119" t="s">
        <v>254</v>
      </c>
      <c r="K518" s="77"/>
      <c r="L518" s="77">
        <v>5000000</v>
      </c>
      <c r="M518" s="77"/>
      <c r="N518" s="159"/>
      <c r="O518" s="77"/>
      <c r="P518" s="77"/>
      <c r="Q518" s="78">
        <f t="shared" si="33"/>
        <v>5000000</v>
      </c>
      <c r="R518" s="57" t="s">
        <v>400</v>
      </c>
      <c r="S518" s="82" t="s">
        <v>250</v>
      </c>
      <c r="T518" s="117"/>
      <c r="U518" s="117"/>
      <c r="V518" s="163"/>
    </row>
    <row r="519" spans="1:22" s="116" customFormat="1" ht="42" customHeight="1">
      <c r="A519" s="82"/>
      <c r="B519" s="110"/>
      <c r="C519" s="57"/>
      <c r="D519" s="85"/>
      <c r="E519" s="84"/>
      <c r="F519" s="118" t="s">
        <v>790</v>
      </c>
      <c r="G519" s="94" t="s">
        <v>227</v>
      </c>
      <c r="H519" s="95">
        <v>1</v>
      </c>
      <c r="I519" s="96" t="s">
        <v>41</v>
      </c>
      <c r="J519" s="119" t="s">
        <v>254</v>
      </c>
      <c r="K519" s="77">
        <v>300000000</v>
      </c>
      <c r="L519" s="77"/>
      <c r="M519" s="77"/>
      <c r="N519" s="159"/>
      <c r="O519" s="77"/>
      <c r="P519" s="77"/>
      <c r="Q519" s="78">
        <f t="shared" si="33"/>
        <v>300000000</v>
      </c>
      <c r="R519" s="57" t="s">
        <v>400</v>
      </c>
      <c r="S519" s="82" t="s">
        <v>250</v>
      </c>
      <c r="T519" s="117"/>
      <c r="U519" s="117"/>
      <c r="V519" s="163"/>
    </row>
    <row r="520" spans="1:22" s="116" customFormat="1" ht="42" customHeight="1">
      <c r="A520" s="82"/>
      <c r="B520" s="110"/>
      <c r="C520" s="57"/>
      <c r="D520" s="85"/>
      <c r="E520" s="84"/>
      <c r="F520" s="118" t="s">
        <v>791</v>
      </c>
      <c r="G520" s="94" t="s">
        <v>792</v>
      </c>
      <c r="H520" s="95">
        <v>1</v>
      </c>
      <c r="I520" s="96" t="s">
        <v>27</v>
      </c>
      <c r="J520" s="119" t="s">
        <v>254</v>
      </c>
      <c r="K520" s="77">
        <v>300000000</v>
      </c>
      <c r="L520" s="77"/>
      <c r="M520" s="77"/>
      <c r="N520" s="159"/>
      <c r="O520" s="77"/>
      <c r="P520" s="77"/>
      <c r="Q520" s="78">
        <f t="shared" si="33"/>
        <v>300000000</v>
      </c>
      <c r="R520" s="57" t="s">
        <v>400</v>
      </c>
      <c r="S520" s="82" t="s">
        <v>250</v>
      </c>
      <c r="T520" s="117"/>
      <c r="U520" s="117"/>
      <c r="V520" s="163"/>
    </row>
    <row r="521" spans="1:22" s="116" customFormat="1" ht="42" customHeight="1">
      <c r="A521" s="82"/>
      <c r="B521" s="110"/>
      <c r="C521" s="57"/>
      <c r="D521" s="85"/>
      <c r="E521" s="84" t="s">
        <v>260</v>
      </c>
      <c r="F521" s="141" t="s">
        <v>191</v>
      </c>
      <c r="G521" s="94"/>
      <c r="H521" s="95"/>
      <c r="I521" s="96"/>
      <c r="J521" s="119"/>
      <c r="K521" s="77"/>
      <c r="L521" s="77"/>
      <c r="M521" s="77"/>
      <c r="N521" s="159"/>
      <c r="O521" s="77"/>
      <c r="P521" s="77"/>
      <c r="Q521" s="78">
        <f t="shared" si="33"/>
        <v>0</v>
      </c>
      <c r="R521" s="57"/>
      <c r="S521" s="117"/>
      <c r="T521" s="117"/>
      <c r="U521" s="117"/>
      <c r="V521" s="163"/>
    </row>
    <row r="522" spans="1:22" s="116" customFormat="1" ht="42" customHeight="1">
      <c r="A522" s="82"/>
      <c r="B522" s="110"/>
      <c r="C522" s="57"/>
      <c r="D522" s="85"/>
      <c r="E522" s="84"/>
      <c r="F522" s="118" t="s">
        <v>793</v>
      </c>
      <c r="G522" s="94" t="s">
        <v>275</v>
      </c>
      <c r="H522" s="95">
        <v>1</v>
      </c>
      <c r="I522" s="96" t="s">
        <v>293</v>
      </c>
      <c r="J522" s="119" t="s">
        <v>794</v>
      </c>
      <c r="K522" s="77">
        <v>500000</v>
      </c>
      <c r="L522" s="77">
        <v>500000</v>
      </c>
      <c r="M522" s="77">
        <v>500000</v>
      </c>
      <c r="N522" s="77">
        <v>500000</v>
      </c>
      <c r="O522" s="77">
        <v>500000</v>
      </c>
      <c r="P522" s="77">
        <v>500000</v>
      </c>
      <c r="Q522" s="78">
        <f t="shared" si="33"/>
        <v>3000000</v>
      </c>
      <c r="R522" s="57" t="s">
        <v>9</v>
      </c>
      <c r="S522" s="82" t="s">
        <v>250</v>
      </c>
      <c r="T522" s="117"/>
      <c r="U522" s="117"/>
      <c r="V522" s="163"/>
    </row>
    <row r="523" spans="1:22" s="116" customFormat="1" ht="42" customHeight="1">
      <c r="A523" s="82"/>
      <c r="B523" s="110"/>
      <c r="C523" s="57"/>
      <c r="D523" s="85"/>
      <c r="E523" s="84"/>
      <c r="F523" s="118" t="s">
        <v>795</v>
      </c>
      <c r="G523" s="94" t="s">
        <v>275</v>
      </c>
      <c r="H523" s="95">
        <v>1</v>
      </c>
      <c r="I523" s="96" t="s">
        <v>293</v>
      </c>
      <c r="J523" s="119" t="s">
        <v>794</v>
      </c>
      <c r="K523" s="77">
        <v>500000</v>
      </c>
      <c r="L523" s="77">
        <v>500000</v>
      </c>
      <c r="M523" s="77">
        <v>500000</v>
      </c>
      <c r="N523" s="77">
        <v>500000</v>
      </c>
      <c r="O523" s="77">
        <v>500000</v>
      </c>
      <c r="P523" s="77">
        <v>500000</v>
      </c>
      <c r="Q523" s="78">
        <f t="shared" si="33"/>
        <v>3000000</v>
      </c>
      <c r="R523" s="57" t="s">
        <v>9</v>
      </c>
      <c r="S523" s="82" t="s">
        <v>250</v>
      </c>
      <c r="T523" s="117"/>
      <c r="U523" s="117"/>
      <c r="V523" s="163"/>
    </row>
    <row r="524" spans="1:22" s="116" customFormat="1" ht="42" customHeight="1">
      <c r="A524" s="82"/>
      <c r="B524" s="110"/>
      <c r="C524" s="57"/>
      <c r="D524" s="85"/>
      <c r="E524" s="84"/>
      <c r="F524" s="118" t="s">
        <v>796</v>
      </c>
      <c r="G524" s="94" t="s">
        <v>264</v>
      </c>
      <c r="H524" s="95">
        <v>1</v>
      </c>
      <c r="I524" s="96" t="s">
        <v>293</v>
      </c>
      <c r="J524" s="119" t="s">
        <v>794</v>
      </c>
      <c r="K524" s="77">
        <v>500000</v>
      </c>
      <c r="L524" s="77">
        <v>500000</v>
      </c>
      <c r="M524" s="77">
        <v>500000</v>
      </c>
      <c r="N524" s="77">
        <v>500000</v>
      </c>
      <c r="O524" s="77">
        <v>500000</v>
      </c>
      <c r="P524" s="77">
        <v>500000</v>
      </c>
      <c r="Q524" s="78">
        <f t="shared" si="33"/>
        <v>3000000</v>
      </c>
      <c r="R524" s="57" t="s">
        <v>9</v>
      </c>
      <c r="S524" s="82" t="s">
        <v>250</v>
      </c>
      <c r="T524" s="117"/>
      <c r="U524" s="117"/>
      <c r="V524" s="163"/>
    </row>
    <row r="525" spans="1:22" s="116" customFormat="1" ht="42" customHeight="1">
      <c r="A525" s="82"/>
      <c r="B525" s="110"/>
      <c r="C525" s="57"/>
      <c r="D525" s="85"/>
      <c r="E525" s="84"/>
      <c r="F525" s="118" t="s">
        <v>797</v>
      </c>
      <c r="G525" s="94" t="s">
        <v>265</v>
      </c>
      <c r="H525" s="95">
        <v>1</v>
      </c>
      <c r="I525" s="96" t="s">
        <v>716</v>
      </c>
      <c r="J525" s="119" t="s">
        <v>794</v>
      </c>
      <c r="K525" s="77">
        <v>500000</v>
      </c>
      <c r="L525" s="77">
        <v>500000</v>
      </c>
      <c r="M525" s="77">
        <v>500000</v>
      </c>
      <c r="N525" s="77">
        <v>500000</v>
      </c>
      <c r="O525" s="77">
        <v>500000</v>
      </c>
      <c r="P525" s="77">
        <v>500000</v>
      </c>
      <c r="Q525" s="78">
        <f t="shared" si="33"/>
        <v>3000000</v>
      </c>
      <c r="R525" s="57" t="s">
        <v>9</v>
      </c>
      <c r="S525" s="82" t="s">
        <v>250</v>
      </c>
      <c r="T525" s="117"/>
      <c r="U525" s="117"/>
      <c r="V525" s="163"/>
    </row>
    <row r="526" spans="1:22" s="116" customFormat="1" ht="42" customHeight="1">
      <c r="A526" s="82"/>
      <c r="B526" s="110"/>
      <c r="C526" s="57"/>
      <c r="D526" s="85"/>
      <c r="E526" s="84"/>
      <c r="F526" s="118" t="s">
        <v>798</v>
      </c>
      <c r="G526" s="94" t="s">
        <v>265</v>
      </c>
      <c r="H526" s="95">
        <v>1</v>
      </c>
      <c r="I526" s="96" t="s">
        <v>293</v>
      </c>
      <c r="J526" s="119" t="s">
        <v>794</v>
      </c>
      <c r="K526" s="77">
        <v>500000</v>
      </c>
      <c r="L526" s="77">
        <v>500000</v>
      </c>
      <c r="M526" s="77">
        <v>500000</v>
      </c>
      <c r="N526" s="77">
        <v>500000</v>
      </c>
      <c r="O526" s="77">
        <v>500000</v>
      </c>
      <c r="P526" s="77">
        <v>500000</v>
      </c>
      <c r="Q526" s="78">
        <f t="shared" si="33"/>
        <v>3000000</v>
      </c>
      <c r="R526" s="57" t="s">
        <v>9</v>
      </c>
      <c r="S526" s="82" t="s">
        <v>250</v>
      </c>
      <c r="T526" s="117"/>
      <c r="U526" s="117"/>
      <c r="V526" s="163"/>
    </row>
    <row r="527" spans="1:22" s="116" customFormat="1" ht="42" customHeight="1">
      <c r="A527" s="82"/>
      <c r="B527" s="110"/>
      <c r="C527" s="57"/>
      <c r="D527" s="85"/>
      <c r="E527" s="84"/>
      <c r="F527" s="118" t="s">
        <v>799</v>
      </c>
      <c r="G527" s="94" t="s">
        <v>272</v>
      </c>
      <c r="H527" s="95">
        <v>1</v>
      </c>
      <c r="I527" s="96" t="s">
        <v>293</v>
      </c>
      <c r="J527" s="119" t="s">
        <v>794</v>
      </c>
      <c r="K527" s="77">
        <v>500000</v>
      </c>
      <c r="L527" s="77">
        <v>500000</v>
      </c>
      <c r="M527" s="77">
        <v>500000</v>
      </c>
      <c r="N527" s="77">
        <v>500000</v>
      </c>
      <c r="O527" s="77">
        <v>500000</v>
      </c>
      <c r="P527" s="77">
        <v>500000</v>
      </c>
      <c r="Q527" s="78">
        <f t="shared" si="33"/>
        <v>3000000</v>
      </c>
      <c r="R527" s="57" t="s">
        <v>9</v>
      </c>
      <c r="S527" s="82" t="s">
        <v>250</v>
      </c>
      <c r="T527" s="117"/>
      <c r="U527" s="117"/>
      <c r="V527" s="163"/>
    </row>
    <row r="528" spans="1:22" s="116" customFormat="1" ht="42" customHeight="1">
      <c r="A528" s="82"/>
      <c r="B528" s="110"/>
      <c r="C528" s="57"/>
      <c r="D528" s="85"/>
      <c r="E528" s="84"/>
      <c r="F528" s="118" t="s">
        <v>800</v>
      </c>
      <c r="G528" s="94" t="s">
        <v>267</v>
      </c>
      <c r="H528" s="95">
        <v>1</v>
      </c>
      <c r="I528" s="96" t="s">
        <v>293</v>
      </c>
      <c r="J528" s="119" t="s">
        <v>794</v>
      </c>
      <c r="K528" s="77">
        <v>500000</v>
      </c>
      <c r="L528" s="77">
        <v>500000</v>
      </c>
      <c r="M528" s="77">
        <v>500000</v>
      </c>
      <c r="N528" s="77">
        <v>500000</v>
      </c>
      <c r="O528" s="77">
        <v>500000</v>
      </c>
      <c r="P528" s="77">
        <v>500000</v>
      </c>
      <c r="Q528" s="78">
        <f t="shared" si="33"/>
        <v>3000000</v>
      </c>
      <c r="R528" s="57" t="s">
        <v>9</v>
      </c>
      <c r="S528" s="82" t="s">
        <v>250</v>
      </c>
      <c r="T528" s="117"/>
      <c r="U528" s="117"/>
      <c r="V528" s="163"/>
    </row>
    <row r="529" spans="1:22" s="116" customFormat="1" ht="42" customHeight="1">
      <c r="A529" s="82"/>
      <c r="B529" s="110"/>
      <c r="C529" s="57"/>
      <c r="D529" s="85"/>
      <c r="E529" s="84"/>
      <c r="F529" s="118" t="s">
        <v>801</v>
      </c>
      <c r="G529" s="94" t="s">
        <v>268</v>
      </c>
      <c r="H529" s="95">
        <v>1</v>
      </c>
      <c r="I529" s="96" t="s">
        <v>293</v>
      </c>
      <c r="J529" s="119" t="s">
        <v>794</v>
      </c>
      <c r="K529" s="77">
        <v>500000</v>
      </c>
      <c r="L529" s="77">
        <v>500000</v>
      </c>
      <c r="M529" s="77">
        <v>500000</v>
      </c>
      <c r="N529" s="77">
        <v>500000</v>
      </c>
      <c r="O529" s="77">
        <v>500000</v>
      </c>
      <c r="P529" s="77">
        <v>500000</v>
      </c>
      <c r="Q529" s="78">
        <f t="shared" si="33"/>
        <v>3000000</v>
      </c>
      <c r="R529" s="57" t="s">
        <v>9</v>
      </c>
      <c r="S529" s="82" t="s">
        <v>250</v>
      </c>
      <c r="T529" s="117"/>
      <c r="U529" s="117"/>
      <c r="V529" s="163"/>
    </row>
    <row r="530" spans="1:22" s="116" customFormat="1" ht="57" customHeight="1">
      <c r="A530" s="82"/>
      <c r="B530" s="110"/>
      <c r="C530" s="57"/>
      <c r="D530" s="85"/>
      <c r="E530" s="84" t="s">
        <v>279</v>
      </c>
      <c r="F530" s="133" t="s">
        <v>183</v>
      </c>
      <c r="G530" s="94"/>
      <c r="H530" s="95"/>
      <c r="I530" s="96"/>
      <c r="J530" s="119"/>
      <c r="K530" s="77"/>
      <c r="L530" s="77"/>
      <c r="M530" s="77"/>
      <c r="N530" s="159"/>
      <c r="O530" s="77"/>
      <c r="P530" s="77"/>
      <c r="Q530" s="78">
        <f t="shared" si="33"/>
        <v>0</v>
      </c>
      <c r="R530" s="57"/>
      <c r="S530" s="117"/>
      <c r="T530" s="117"/>
      <c r="U530" s="117"/>
      <c r="V530" s="163"/>
    </row>
    <row r="531" spans="1:22" s="116" customFormat="1" ht="42" customHeight="1">
      <c r="A531" s="82"/>
      <c r="B531" s="110"/>
      <c r="C531" s="57"/>
      <c r="D531" s="85"/>
      <c r="E531" s="84"/>
      <c r="F531" s="118" t="s">
        <v>802</v>
      </c>
      <c r="G531" s="94" t="s">
        <v>227</v>
      </c>
      <c r="H531" s="95">
        <v>1</v>
      </c>
      <c r="I531" s="96" t="s">
        <v>716</v>
      </c>
      <c r="J531" s="119" t="s">
        <v>298</v>
      </c>
      <c r="K531" s="77">
        <v>2000000</v>
      </c>
      <c r="L531" s="77">
        <v>2000000</v>
      </c>
      <c r="M531" s="77">
        <v>2000000</v>
      </c>
      <c r="N531" s="77">
        <v>2000000</v>
      </c>
      <c r="O531" s="77">
        <v>2000000</v>
      </c>
      <c r="P531" s="77">
        <v>2000000</v>
      </c>
      <c r="Q531" s="78">
        <f t="shared" si="33"/>
        <v>12000000</v>
      </c>
      <c r="R531" s="57" t="s">
        <v>21</v>
      </c>
      <c r="S531" s="82" t="s">
        <v>250</v>
      </c>
      <c r="T531" s="117"/>
      <c r="U531" s="117"/>
      <c r="V531" s="163"/>
    </row>
    <row r="532" spans="1:22" s="116" customFormat="1" ht="55.5" customHeight="1">
      <c r="A532" s="82"/>
      <c r="B532" s="110"/>
      <c r="C532" s="57"/>
      <c r="D532" s="85"/>
      <c r="E532" s="84" t="s">
        <v>281</v>
      </c>
      <c r="F532" s="133" t="s">
        <v>188</v>
      </c>
      <c r="G532" s="94"/>
      <c r="H532" s="95"/>
      <c r="I532" s="96"/>
      <c r="J532" s="119"/>
      <c r="K532" s="77"/>
      <c r="L532" s="77"/>
      <c r="M532" s="77"/>
      <c r="N532" s="159"/>
      <c r="O532" s="77"/>
      <c r="P532" s="77"/>
      <c r="Q532" s="78">
        <f t="shared" si="33"/>
        <v>0</v>
      </c>
      <c r="R532" s="57"/>
      <c r="S532" s="117"/>
      <c r="T532" s="117"/>
      <c r="U532" s="117"/>
      <c r="V532" s="163"/>
    </row>
    <row r="533" spans="1:22" s="116" customFormat="1" ht="42" customHeight="1">
      <c r="A533" s="82"/>
      <c r="B533" s="110"/>
      <c r="C533" s="57"/>
      <c r="D533" s="85"/>
      <c r="E533" s="84"/>
      <c r="F533" s="118" t="s">
        <v>803</v>
      </c>
      <c r="G533" s="94" t="s">
        <v>264</v>
      </c>
      <c r="H533" s="95">
        <v>1</v>
      </c>
      <c r="I533" s="96" t="s">
        <v>716</v>
      </c>
      <c r="J533" s="119" t="s">
        <v>794</v>
      </c>
      <c r="K533" s="77">
        <v>1000000</v>
      </c>
      <c r="L533" s="77">
        <v>1000000</v>
      </c>
      <c r="M533" s="77">
        <v>1000000</v>
      </c>
      <c r="N533" s="77">
        <v>1000000</v>
      </c>
      <c r="O533" s="77">
        <v>1000000</v>
      </c>
      <c r="P533" s="77">
        <v>1000000</v>
      </c>
      <c r="Q533" s="78">
        <f t="shared" si="33"/>
        <v>6000000</v>
      </c>
      <c r="R533" s="57" t="s">
        <v>31</v>
      </c>
      <c r="S533" s="82" t="s">
        <v>250</v>
      </c>
      <c r="T533" s="117"/>
      <c r="U533" s="117"/>
      <c r="V533" s="163"/>
    </row>
    <row r="534" spans="1:22" s="115" customFormat="1" ht="42" customHeight="1">
      <c r="A534" s="82"/>
      <c r="B534" s="110"/>
      <c r="C534" s="57"/>
      <c r="D534" s="85"/>
      <c r="E534" s="84"/>
      <c r="F534" s="118" t="s">
        <v>804</v>
      </c>
      <c r="G534" s="94" t="s">
        <v>227</v>
      </c>
      <c r="H534" s="95">
        <v>1</v>
      </c>
      <c r="I534" s="96" t="s">
        <v>716</v>
      </c>
      <c r="J534" s="119" t="s">
        <v>254</v>
      </c>
      <c r="K534" s="77">
        <v>2000000</v>
      </c>
      <c r="L534" s="77">
        <v>2000000</v>
      </c>
      <c r="M534" s="77">
        <v>2000000</v>
      </c>
      <c r="N534" s="159">
        <v>2000000</v>
      </c>
      <c r="O534" s="77">
        <v>2000000</v>
      </c>
      <c r="P534" s="77">
        <v>2000000</v>
      </c>
      <c r="Q534" s="78">
        <f t="shared" si="33"/>
        <v>12000000</v>
      </c>
      <c r="R534" s="57" t="s">
        <v>31</v>
      </c>
      <c r="S534" s="117"/>
      <c r="T534" s="117"/>
      <c r="U534" s="117"/>
    </row>
    <row r="535" spans="1:22" s="115" customFormat="1" ht="42" customHeight="1">
      <c r="A535" s="82"/>
      <c r="B535" s="110"/>
      <c r="C535" s="57"/>
      <c r="D535" s="85"/>
      <c r="E535" s="84" t="s">
        <v>36</v>
      </c>
      <c r="F535" s="133" t="s">
        <v>186</v>
      </c>
      <c r="G535" s="94"/>
      <c r="H535" s="95"/>
      <c r="I535" s="96"/>
      <c r="J535" s="119"/>
      <c r="K535" s="77"/>
      <c r="L535" s="77"/>
      <c r="M535" s="77"/>
      <c r="N535" s="159"/>
      <c r="O535" s="77"/>
      <c r="P535" s="77"/>
      <c r="Q535" s="78">
        <f t="shared" si="33"/>
        <v>0</v>
      </c>
      <c r="R535" s="57"/>
      <c r="S535" s="117"/>
      <c r="T535" s="117"/>
      <c r="U535" s="117"/>
    </row>
    <row r="536" spans="1:22" s="116" customFormat="1" ht="42" customHeight="1">
      <c r="A536" s="82"/>
      <c r="B536" s="110"/>
      <c r="C536" s="57"/>
      <c r="D536" s="85"/>
      <c r="E536" s="84"/>
      <c r="F536" s="118" t="s">
        <v>805</v>
      </c>
      <c r="G536" s="94" t="s">
        <v>272</v>
      </c>
      <c r="H536" s="95">
        <v>1</v>
      </c>
      <c r="I536" s="96" t="s">
        <v>716</v>
      </c>
      <c r="J536" s="119" t="s">
        <v>254</v>
      </c>
      <c r="K536" s="77"/>
      <c r="L536" s="77"/>
      <c r="M536" s="77"/>
      <c r="N536" s="159"/>
      <c r="O536" s="77"/>
      <c r="P536" s="77">
        <v>5000000</v>
      </c>
      <c r="Q536" s="78">
        <f t="shared" si="33"/>
        <v>5000000</v>
      </c>
      <c r="R536" s="57" t="s">
        <v>21</v>
      </c>
      <c r="S536" s="82" t="s">
        <v>250</v>
      </c>
      <c r="T536" s="117"/>
      <c r="U536" s="117"/>
      <c r="V536" s="163"/>
    </row>
    <row r="537" spans="1:22" ht="54">
      <c r="A537" s="82"/>
      <c r="B537" s="110"/>
      <c r="C537" s="56"/>
      <c r="D537" s="70" t="s">
        <v>193</v>
      </c>
      <c r="E537" s="172"/>
      <c r="F537" s="141" t="s">
        <v>43</v>
      </c>
      <c r="G537" s="119"/>
      <c r="H537" s="146"/>
      <c r="I537" s="96"/>
      <c r="J537" s="119"/>
      <c r="K537" s="77"/>
      <c r="L537" s="77"/>
      <c r="M537" s="77"/>
      <c r="N537" s="77"/>
      <c r="O537" s="77"/>
      <c r="P537" s="77"/>
      <c r="Q537" s="78">
        <f t="shared" si="33"/>
        <v>0</v>
      </c>
      <c r="R537" s="57"/>
      <c r="S537" s="129"/>
      <c r="T537" s="129"/>
      <c r="U537" s="129"/>
    </row>
    <row r="538" spans="1:22" s="115" customFormat="1" ht="49.5" customHeight="1">
      <c r="A538" s="82"/>
      <c r="B538" s="110"/>
      <c r="C538" s="57"/>
      <c r="D538" s="128"/>
      <c r="E538" s="71"/>
      <c r="F538" s="94" t="s">
        <v>806</v>
      </c>
      <c r="G538" s="94" t="s">
        <v>227</v>
      </c>
      <c r="H538" s="95">
        <v>14</v>
      </c>
      <c r="I538" s="71" t="s">
        <v>458</v>
      </c>
      <c r="J538" s="119" t="s">
        <v>251</v>
      </c>
      <c r="K538" s="77">
        <v>3000000</v>
      </c>
      <c r="L538" s="77">
        <v>3000000</v>
      </c>
      <c r="M538" s="77">
        <v>3000000</v>
      </c>
      <c r="N538" s="77">
        <v>3000000</v>
      </c>
      <c r="O538" s="77">
        <v>3000000</v>
      </c>
      <c r="P538" s="77">
        <v>3000000</v>
      </c>
      <c r="Q538" s="78">
        <f t="shared" si="33"/>
        <v>18000000</v>
      </c>
      <c r="R538" s="57" t="s">
        <v>9</v>
      </c>
      <c r="S538" s="82" t="s">
        <v>250</v>
      </c>
      <c r="T538" s="117"/>
      <c r="U538" s="117"/>
    </row>
    <row r="539" spans="1:22" s="115" customFormat="1" ht="49.5" customHeight="1">
      <c r="A539" s="82"/>
      <c r="B539" s="110"/>
      <c r="C539" s="57"/>
      <c r="D539" s="128"/>
      <c r="E539" s="71"/>
      <c r="F539" s="93" t="s">
        <v>807</v>
      </c>
      <c r="G539" s="93" t="s">
        <v>561</v>
      </c>
      <c r="H539" s="95">
        <v>1</v>
      </c>
      <c r="I539" s="96" t="s">
        <v>27</v>
      </c>
      <c r="J539" s="119" t="s">
        <v>251</v>
      </c>
      <c r="K539" s="77"/>
      <c r="L539" s="77">
        <v>7500000</v>
      </c>
      <c r="M539" s="77"/>
      <c r="N539" s="77"/>
      <c r="O539" s="77"/>
      <c r="P539" s="77"/>
      <c r="Q539" s="78">
        <f t="shared" si="33"/>
        <v>7500000</v>
      </c>
      <c r="R539" s="57" t="s">
        <v>31</v>
      </c>
      <c r="S539" s="82" t="s">
        <v>250</v>
      </c>
      <c r="T539" s="117"/>
      <c r="U539" s="117"/>
    </row>
    <row r="540" spans="1:22" s="115" customFormat="1" ht="49.5" customHeight="1">
      <c r="A540" s="82"/>
      <c r="B540" s="110"/>
      <c r="C540" s="57"/>
      <c r="D540" s="128"/>
      <c r="E540" s="71"/>
      <c r="F540" s="93" t="s">
        <v>808</v>
      </c>
      <c r="G540" s="93" t="s">
        <v>271</v>
      </c>
      <c r="H540" s="95">
        <v>1</v>
      </c>
      <c r="I540" s="96" t="s">
        <v>769</v>
      </c>
      <c r="J540" s="119" t="s">
        <v>251</v>
      </c>
      <c r="K540" s="77"/>
      <c r="L540" s="77">
        <v>2000000</v>
      </c>
      <c r="M540" s="77"/>
      <c r="N540" s="77"/>
      <c r="O540" s="77"/>
      <c r="P540" s="77"/>
      <c r="Q540" s="78">
        <f t="shared" si="33"/>
        <v>2000000</v>
      </c>
      <c r="R540" s="57" t="s">
        <v>31</v>
      </c>
      <c r="S540" s="82" t="s">
        <v>250</v>
      </c>
      <c r="T540" s="117"/>
      <c r="U540" s="117"/>
    </row>
    <row r="541" spans="1:22" s="115" customFormat="1" ht="49.5" customHeight="1">
      <c r="A541" s="82"/>
      <c r="B541" s="110"/>
      <c r="C541" s="57"/>
      <c r="D541" s="128"/>
      <c r="E541" s="71"/>
      <c r="F541" s="93" t="s">
        <v>809</v>
      </c>
      <c r="G541" s="93" t="s">
        <v>267</v>
      </c>
      <c r="H541" s="95">
        <v>1</v>
      </c>
      <c r="I541" s="96" t="s">
        <v>769</v>
      </c>
      <c r="J541" s="119" t="s">
        <v>251</v>
      </c>
      <c r="K541" s="77"/>
      <c r="L541" s="77">
        <v>2000000</v>
      </c>
      <c r="M541" s="77"/>
      <c r="N541" s="77"/>
      <c r="O541" s="77"/>
      <c r="P541" s="77"/>
      <c r="Q541" s="78">
        <f t="shared" ref="Q541:Q605" si="34">SUM(K541:P541)</f>
        <v>2000000</v>
      </c>
      <c r="R541" s="57" t="s">
        <v>31</v>
      </c>
      <c r="S541" s="82" t="s">
        <v>250</v>
      </c>
      <c r="T541" s="117"/>
      <c r="U541" s="117"/>
    </row>
    <row r="542" spans="1:22" s="115" customFormat="1" ht="49.5" customHeight="1">
      <c r="A542" s="82"/>
      <c r="B542" s="110"/>
      <c r="C542" s="57"/>
      <c r="D542" s="128"/>
      <c r="E542" s="71"/>
      <c r="F542" s="93" t="s">
        <v>810</v>
      </c>
      <c r="G542" s="93" t="s">
        <v>361</v>
      </c>
      <c r="H542" s="95">
        <v>1</v>
      </c>
      <c r="I542" s="96" t="s">
        <v>255</v>
      </c>
      <c r="J542" s="119" t="s">
        <v>251</v>
      </c>
      <c r="K542" s="77">
        <v>4000000</v>
      </c>
      <c r="L542" s="77">
        <v>4000000</v>
      </c>
      <c r="M542" s="77">
        <v>4000000</v>
      </c>
      <c r="N542" s="77">
        <v>4000000</v>
      </c>
      <c r="O542" s="77">
        <v>4000000</v>
      </c>
      <c r="P542" s="77">
        <v>4000000</v>
      </c>
      <c r="Q542" s="78">
        <f t="shared" ref="Q542" si="35">SUM(K542:P542)</f>
        <v>24000000</v>
      </c>
      <c r="R542" s="57" t="s">
        <v>9</v>
      </c>
      <c r="S542" s="82" t="s">
        <v>250</v>
      </c>
      <c r="T542" s="117"/>
      <c r="U542" s="117"/>
    </row>
    <row r="543" spans="1:22" s="115" customFormat="1" ht="49.5" customHeight="1">
      <c r="A543" s="82"/>
      <c r="B543" s="110"/>
      <c r="C543" s="57"/>
      <c r="D543" s="128"/>
      <c r="E543" s="71"/>
      <c r="F543" s="141" t="s">
        <v>32</v>
      </c>
      <c r="G543" s="94"/>
      <c r="H543" s="95"/>
      <c r="I543" s="96"/>
      <c r="J543" s="119"/>
      <c r="K543" s="105"/>
      <c r="L543" s="105"/>
      <c r="M543" s="105"/>
      <c r="N543" s="105"/>
      <c r="O543" s="105"/>
      <c r="P543" s="105"/>
      <c r="Q543" s="78">
        <f t="shared" si="34"/>
        <v>0</v>
      </c>
      <c r="R543" s="57"/>
      <c r="S543" s="117"/>
      <c r="T543" s="117"/>
      <c r="U543" s="117"/>
    </row>
    <row r="544" spans="1:22" s="115" customFormat="1" ht="49.5" customHeight="1">
      <c r="A544" s="82"/>
      <c r="B544" s="110"/>
      <c r="C544" s="57"/>
      <c r="D544" s="128"/>
      <c r="E544" s="71"/>
      <c r="F544" s="93" t="s">
        <v>811</v>
      </c>
      <c r="G544" s="94" t="s">
        <v>227</v>
      </c>
      <c r="H544" s="95">
        <v>14</v>
      </c>
      <c r="I544" s="71" t="s">
        <v>456</v>
      </c>
      <c r="J544" s="119" t="s">
        <v>251</v>
      </c>
      <c r="K544" s="77"/>
      <c r="L544" s="77"/>
      <c r="M544" s="77"/>
      <c r="N544" s="77">
        <v>3500000</v>
      </c>
      <c r="O544" s="77"/>
      <c r="P544" s="77"/>
      <c r="Q544" s="78">
        <f t="shared" si="34"/>
        <v>3500000</v>
      </c>
      <c r="R544" s="57" t="s">
        <v>31</v>
      </c>
      <c r="S544" s="82" t="s">
        <v>250</v>
      </c>
      <c r="T544" s="117"/>
      <c r="U544" s="117"/>
    </row>
    <row r="545" spans="1:21" s="115" customFormat="1" ht="49.5" customHeight="1">
      <c r="A545" s="82"/>
      <c r="B545" s="110"/>
      <c r="C545" s="57"/>
      <c r="D545" s="128"/>
      <c r="E545" s="71"/>
      <c r="F545" s="141" t="s">
        <v>196</v>
      </c>
      <c r="G545" s="94"/>
      <c r="H545" s="95"/>
      <c r="I545" s="71"/>
      <c r="J545" s="119"/>
      <c r="K545" s="77"/>
      <c r="L545" s="105"/>
      <c r="M545" s="77"/>
      <c r="N545" s="77"/>
      <c r="O545" s="77"/>
      <c r="P545" s="77"/>
      <c r="Q545" s="78">
        <f t="shared" si="34"/>
        <v>0</v>
      </c>
      <c r="R545" s="57"/>
      <c r="S545" s="117"/>
      <c r="T545" s="117"/>
      <c r="U545" s="117"/>
    </row>
    <row r="546" spans="1:21" s="115" customFormat="1" ht="49.5" customHeight="1">
      <c r="A546" s="82"/>
      <c r="B546" s="110"/>
      <c r="C546" s="57"/>
      <c r="D546" s="128"/>
      <c r="E546" s="71"/>
      <c r="F546" s="93" t="s">
        <v>812</v>
      </c>
      <c r="G546" s="94" t="s">
        <v>361</v>
      </c>
      <c r="H546" s="95">
        <v>1</v>
      </c>
      <c r="I546" s="71" t="s">
        <v>385</v>
      </c>
      <c r="J546" s="119" t="s">
        <v>252</v>
      </c>
      <c r="K546" s="77">
        <v>10000000</v>
      </c>
      <c r="L546" s="77">
        <v>10000000</v>
      </c>
      <c r="M546" s="77">
        <v>10000000</v>
      </c>
      <c r="N546" s="77">
        <v>10000000</v>
      </c>
      <c r="O546" s="77">
        <v>10000000</v>
      </c>
      <c r="P546" s="77">
        <v>10000000</v>
      </c>
      <c r="Q546" s="78">
        <f t="shared" si="34"/>
        <v>60000000</v>
      </c>
      <c r="R546" s="57" t="s">
        <v>9</v>
      </c>
      <c r="S546" s="82" t="s">
        <v>250</v>
      </c>
      <c r="T546" s="117"/>
      <c r="U546" s="117"/>
    </row>
    <row r="547" spans="1:21" s="115" customFormat="1" ht="49.5" customHeight="1">
      <c r="A547" s="82"/>
      <c r="B547" s="110"/>
      <c r="C547" s="57"/>
      <c r="D547" s="128"/>
      <c r="E547" s="71"/>
      <c r="F547" s="133" t="s">
        <v>197</v>
      </c>
      <c r="G547" s="94"/>
      <c r="H547" s="95"/>
      <c r="I547" s="96"/>
      <c r="J547" s="119"/>
      <c r="K547" s="77"/>
      <c r="L547" s="77"/>
      <c r="M547" s="105"/>
      <c r="N547" s="77"/>
      <c r="O547" s="77"/>
      <c r="P547" s="77"/>
      <c r="Q547" s="78">
        <f t="shared" si="34"/>
        <v>0</v>
      </c>
      <c r="R547" s="57"/>
      <c r="S547" s="117"/>
      <c r="T547" s="117"/>
      <c r="U547" s="117"/>
    </row>
    <row r="548" spans="1:21" s="115" customFormat="1" ht="49.5" customHeight="1">
      <c r="A548" s="82"/>
      <c r="B548" s="110"/>
      <c r="C548" s="57"/>
      <c r="D548" s="128"/>
      <c r="E548" s="71"/>
      <c r="F548" s="110" t="s">
        <v>813</v>
      </c>
      <c r="G548" s="94" t="s">
        <v>551</v>
      </c>
      <c r="H548" s="95">
        <v>50</v>
      </c>
      <c r="I548" s="96"/>
      <c r="J548" s="119" t="s">
        <v>251</v>
      </c>
      <c r="K548" s="77"/>
      <c r="L548" s="77"/>
      <c r="M548" s="77">
        <v>2500000</v>
      </c>
      <c r="N548" s="105"/>
      <c r="O548" s="77"/>
      <c r="P548" s="77"/>
      <c r="Q548" s="78">
        <f t="shared" si="34"/>
        <v>2500000</v>
      </c>
      <c r="R548" s="57" t="s">
        <v>9</v>
      </c>
      <c r="S548" s="82" t="s">
        <v>250</v>
      </c>
      <c r="T548" s="117"/>
      <c r="U548" s="117"/>
    </row>
    <row r="549" spans="1:21" s="115" customFormat="1" ht="49.5" customHeight="1">
      <c r="A549" s="82"/>
      <c r="B549" s="110"/>
      <c r="C549" s="57"/>
      <c r="D549" s="128"/>
      <c r="E549" s="71"/>
      <c r="F549" s="112" t="s">
        <v>814</v>
      </c>
      <c r="G549" s="93" t="s">
        <v>269</v>
      </c>
      <c r="H549" s="95">
        <v>50</v>
      </c>
      <c r="I549" s="96"/>
      <c r="J549" s="119" t="s">
        <v>251</v>
      </c>
      <c r="K549" s="77"/>
      <c r="L549" s="105"/>
      <c r="M549" s="77"/>
      <c r="N549" s="77"/>
      <c r="O549" s="77">
        <v>6000000</v>
      </c>
      <c r="P549" s="77"/>
      <c r="Q549" s="78">
        <f t="shared" si="34"/>
        <v>6000000</v>
      </c>
      <c r="R549" s="57" t="s">
        <v>9</v>
      </c>
      <c r="S549" s="82" t="s">
        <v>250</v>
      </c>
      <c r="T549" s="117"/>
      <c r="U549" s="117"/>
    </row>
    <row r="550" spans="1:21" s="115" customFormat="1" ht="49.5" customHeight="1">
      <c r="A550" s="82"/>
      <c r="B550" s="110"/>
      <c r="C550" s="57"/>
      <c r="D550" s="128"/>
      <c r="E550" s="71"/>
      <c r="F550" s="112" t="s">
        <v>815</v>
      </c>
      <c r="G550" s="94" t="s">
        <v>656</v>
      </c>
      <c r="H550" s="95">
        <v>47</v>
      </c>
      <c r="I550" s="96" t="s">
        <v>290</v>
      </c>
      <c r="J550" s="119" t="s">
        <v>251</v>
      </c>
      <c r="K550" s="77"/>
      <c r="L550" s="77"/>
      <c r="M550" s="77"/>
      <c r="N550" s="77">
        <v>5640000</v>
      </c>
      <c r="O550" s="77"/>
      <c r="P550" s="77"/>
      <c r="Q550" s="78">
        <f t="shared" si="34"/>
        <v>5640000</v>
      </c>
      <c r="R550" s="57" t="s">
        <v>9</v>
      </c>
      <c r="S550" s="82" t="s">
        <v>250</v>
      </c>
      <c r="T550" s="117"/>
      <c r="U550" s="117"/>
    </row>
    <row r="551" spans="1:21" s="127" customFormat="1" ht="46.5" customHeight="1">
      <c r="A551" s="672" t="s">
        <v>816</v>
      </c>
      <c r="B551" s="673"/>
      <c r="C551" s="673"/>
      <c r="D551" s="674"/>
      <c r="E551" s="164"/>
      <c r="F551" s="165"/>
      <c r="G551" s="166"/>
      <c r="H551" s="167"/>
      <c r="I551" s="165"/>
      <c r="J551" s="168"/>
      <c r="K551" s="123"/>
      <c r="L551" s="123"/>
      <c r="M551" s="123"/>
      <c r="N551" s="123"/>
      <c r="O551" s="123"/>
      <c r="P551" s="123"/>
      <c r="Q551" s="173"/>
      <c r="R551" s="124"/>
      <c r="S551" s="125"/>
      <c r="T551" s="125"/>
      <c r="U551" s="125"/>
    </row>
    <row r="552" spans="1:21" s="109" customFormat="1" ht="83.25" customHeight="1">
      <c r="A552" s="83">
        <v>4</v>
      </c>
      <c r="B552" s="100" t="s">
        <v>817</v>
      </c>
      <c r="C552" s="56" t="s">
        <v>36</v>
      </c>
      <c r="D552" s="174" t="s">
        <v>818</v>
      </c>
      <c r="E552" s="175"/>
      <c r="F552" s="133" t="s">
        <v>201</v>
      </c>
      <c r="G552" s="122"/>
      <c r="H552" s="176"/>
      <c r="I552" s="103"/>
      <c r="J552" s="122"/>
      <c r="K552" s="105"/>
      <c r="L552" s="105"/>
      <c r="M552" s="105"/>
      <c r="N552" s="105"/>
      <c r="O552" s="105"/>
      <c r="P552" s="105"/>
      <c r="Q552" s="177">
        <f t="shared" si="34"/>
        <v>0</v>
      </c>
      <c r="R552" s="56"/>
      <c r="S552" s="107"/>
      <c r="T552" s="107"/>
      <c r="U552" s="107"/>
    </row>
    <row r="553" spans="1:21" s="115" customFormat="1" ht="48" customHeight="1">
      <c r="A553" s="99"/>
      <c r="B553" s="110"/>
      <c r="C553" s="57"/>
      <c r="D553" s="112"/>
      <c r="E553" s="71"/>
      <c r="F553" s="93" t="s">
        <v>819</v>
      </c>
      <c r="G553" s="119" t="s">
        <v>278</v>
      </c>
      <c r="H553" s="146">
        <v>5</v>
      </c>
      <c r="I553" s="96" t="s">
        <v>27</v>
      </c>
      <c r="J553" s="119" t="s">
        <v>254</v>
      </c>
      <c r="K553" s="77"/>
      <c r="L553" s="77"/>
      <c r="M553" s="77">
        <f>H553*2250000</f>
        <v>11250000</v>
      </c>
      <c r="N553" s="77"/>
      <c r="O553" s="77"/>
      <c r="P553" s="77"/>
      <c r="Q553" s="78">
        <f t="shared" si="34"/>
        <v>11250000</v>
      </c>
      <c r="R553" s="57" t="s">
        <v>397</v>
      </c>
      <c r="S553" s="82" t="s">
        <v>250</v>
      </c>
      <c r="T553" s="117"/>
      <c r="U553" s="117"/>
    </row>
    <row r="554" spans="1:21" s="115" customFormat="1" ht="48" customHeight="1">
      <c r="A554" s="82"/>
      <c r="B554" s="110"/>
      <c r="C554" s="56"/>
      <c r="D554" s="72"/>
      <c r="E554" s="71"/>
      <c r="F554" s="112" t="s">
        <v>820</v>
      </c>
      <c r="G554" s="94" t="s">
        <v>227</v>
      </c>
      <c r="H554" s="95">
        <v>14</v>
      </c>
      <c r="I554" s="96" t="s">
        <v>821</v>
      </c>
      <c r="J554" s="119" t="s">
        <v>254</v>
      </c>
      <c r="K554" s="77"/>
      <c r="L554" s="77">
        <f>H554*3250000</f>
        <v>45500000</v>
      </c>
      <c r="M554" s="159"/>
      <c r="N554" s="159"/>
      <c r="O554" s="159"/>
      <c r="P554" s="159"/>
      <c r="Q554" s="78">
        <f t="shared" si="34"/>
        <v>45500000</v>
      </c>
      <c r="R554" s="57" t="s">
        <v>397</v>
      </c>
      <c r="S554" s="82" t="s">
        <v>250</v>
      </c>
      <c r="T554" s="117"/>
      <c r="U554" s="117"/>
    </row>
    <row r="555" spans="1:21" s="115" customFormat="1" ht="48" customHeight="1">
      <c r="A555" s="82"/>
      <c r="B555" s="110"/>
      <c r="C555" s="56"/>
      <c r="D555" s="72"/>
      <c r="E555" s="71"/>
      <c r="F555" s="112" t="s">
        <v>822</v>
      </c>
      <c r="G555" s="94" t="s">
        <v>278</v>
      </c>
      <c r="H555" s="95">
        <v>1</v>
      </c>
      <c r="I555" s="96" t="s">
        <v>27</v>
      </c>
      <c r="J555" s="119" t="s">
        <v>254</v>
      </c>
      <c r="K555" s="77"/>
      <c r="L555" s="77">
        <f>H555*12000000</f>
        <v>12000000</v>
      </c>
      <c r="M555" s="159"/>
      <c r="N555" s="159"/>
      <c r="O555" s="159"/>
      <c r="P555" s="159"/>
      <c r="Q555" s="78">
        <f t="shared" si="34"/>
        <v>12000000</v>
      </c>
      <c r="R555" s="57" t="s">
        <v>397</v>
      </c>
      <c r="S555" s="82" t="s">
        <v>250</v>
      </c>
      <c r="T555" s="117"/>
      <c r="U555" s="117"/>
    </row>
    <row r="556" spans="1:21" s="115" customFormat="1" ht="48" customHeight="1">
      <c r="A556" s="82"/>
      <c r="B556" s="110"/>
      <c r="C556" s="56"/>
      <c r="D556" s="72"/>
      <c r="E556" s="71"/>
      <c r="F556" s="112" t="s">
        <v>823</v>
      </c>
      <c r="G556" s="94" t="s">
        <v>269</v>
      </c>
      <c r="H556" s="95">
        <v>12</v>
      </c>
      <c r="I556" s="96" t="s">
        <v>27</v>
      </c>
      <c r="J556" s="119" t="s">
        <v>254</v>
      </c>
      <c r="K556" s="77">
        <f>H556*500000</f>
        <v>6000000</v>
      </c>
      <c r="L556" s="159"/>
      <c r="M556" s="77"/>
      <c r="N556" s="77"/>
      <c r="O556" s="77"/>
      <c r="P556" s="77"/>
      <c r="Q556" s="78">
        <f t="shared" si="34"/>
        <v>6000000</v>
      </c>
      <c r="R556" s="57" t="s">
        <v>397</v>
      </c>
      <c r="S556" s="82" t="s">
        <v>250</v>
      </c>
      <c r="T556" s="117"/>
      <c r="U556" s="117"/>
    </row>
    <row r="557" spans="1:21" s="115" customFormat="1" ht="48" customHeight="1">
      <c r="A557" s="82"/>
      <c r="B557" s="110"/>
      <c r="C557" s="56"/>
      <c r="D557" s="72"/>
      <c r="E557" s="71"/>
      <c r="F557" s="112" t="s">
        <v>824</v>
      </c>
      <c r="G557" s="94" t="s">
        <v>275</v>
      </c>
      <c r="H557" s="95">
        <v>1</v>
      </c>
      <c r="I557" s="96" t="s">
        <v>27</v>
      </c>
      <c r="J557" s="119" t="s">
        <v>254</v>
      </c>
      <c r="K557" s="77"/>
      <c r="L557" s="77"/>
      <c r="M557" s="77">
        <f>H557*12000000</f>
        <v>12000000</v>
      </c>
      <c r="N557" s="159"/>
      <c r="O557" s="77"/>
      <c r="P557" s="77"/>
      <c r="Q557" s="78">
        <f t="shared" si="34"/>
        <v>12000000</v>
      </c>
      <c r="R557" s="57" t="s">
        <v>397</v>
      </c>
      <c r="S557" s="82" t="s">
        <v>250</v>
      </c>
      <c r="T557" s="117"/>
      <c r="U557" s="117"/>
    </row>
    <row r="558" spans="1:21" s="115" customFormat="1" ht="48" customHeight="1">
      <c r="A558" s="82"/>
      <c r="B558" s="110"/>
      <c r="C558" s="56"/>
      <c r="D558" s="72"/>
      <c r="E558" s="71"/>
      <c r="F558" s="112" t="s">
        <v>824</v>
      </c>
      <c r="G558" s="94" t="s">
        <v>561</v>
      </c>
      <c r="H558" s="95">
        <v>1</v>
      </c>
      <c r="I558" s="96" t="s">
        <v>27</v>
      </c>
      <c r="J558" s="119" t="s">
        <v>254</v>
      </c>
      <c r="K558" s="77">
        <f>H558*12000000</f>
        <v>12000000</v>
      </c>
      <c r="L558" s="159"/>
      <c r="M558" s="159"/>
      <c r="N558" s="159"/>
      <c r="O558" s="159"/>
      <c r="P558" s="159"/>
      <c r="Q558" s="78">
        <f t="shared" si="34"/>
        <v>12000000</v>
      </c>
      <c r="R558" s="57" t="s">
        <v>397</v>
      </c>
      <c r="S558" s="82" t="s">
        <v>250</v>
      </c>
      <c r="T558" s="117"/>
      <c r="U558" s="117"/>
    </row>
    <row r="559" spans="1:21" s="115" customFormat="1" ht="48" customHeight="1">
      <c r="A559" s="82"/>
      <c r="B559" s="110"/>
      <c r="C559" s="56"/>
      <c r="D559" s="72"/>
      <c r="E559" s="71"/>
      <c r="F559" s="110" t="s">
        <v>825</v>
      </c>
      <c r="G559" s="119" t="s">
        <v>271</v>
      </c>
      <c r="H559" s="146">
        <v>1</v>
      </c>
      <c r="I559" s="96" t="s">
        <v>27</v>
      </c>
      <c r="J559" s="119" t="s">
        <v>254</v>
      </c>
      <c r="K559" s="170">
        <f>H559*12000000</f>
        <v>12000000</v>
      </c>
      <c r="L559" s="77"/>
      <c r="M559" s="77"/>
      <c r="N559" s="77"/>
      <c r="O559" s="77"/>
      <c r="P559" s="77"/>
      <c r="Q559" s="78">
        <f t="shared" si="34"/>
        <v>12000000</v>
      </c>
      <c r="R559" s="57" t="s">
        <v>397</v>
      </c>
      <c r="S559" s="82" t="s">
        <v>250</v>
      </c>
      <c r="T559" s="117"/>
      <c r="U559" s="117"/>
    </row>
    <row r="560" spans="1:21" s="115" customFormat="1" ht="48" customHeight="1">
      <c r="A560" s="82"/>
      <c r="B560" s="110"/>
      <c r="C560" s="56"/>
      <c r="D560" s="72"/>
      <c r="E560" s="71"/>
      <c r="F560" s="110" t="s">
        <v>826</v>
      </c>
      <c r="G560" s="119" t="s">
        <v>271</v>
      </c>
      <c r="H560" s="146">
        <v>3</v>
      </c>
      <c r="I560" s="96" t="s">
        <v>27</v>
      </c>
      <c r="J560" s="119" t="s">
        <v>254</v>
      </c>
      <c r="K560" s="77">
        <f>H560*6500000</f>
        <v>19500000</v>
      </c>
      <c r="L560" s="77"/>
      <c r="M560" s="77"/>
      <c r="N560" s="77"/>
      <c r="O560" s="77"/>
      <c r="P560" s="77"/>
      <c r="Q560" s="78">
        <f t="shared" si="34"/>
        <v>19500000</v>
      </c>
      <c r="R560" s="57" t="s">
        <v>397</v>
      </c>
      <c r="S560" s="82" t="s">
        <v>250</v>
      </c>
      <c r="T560" s="117"/>
      <c r="U560" s="117"/>
    </row>
    <row r="561" spans="1:21" s="115" customFormat="1" ht="48" customHeight="1">
      <c r="A561" s="82"/>
      <c r="B561" s="110"/>
      <c r="C561" s="56"/>
      <c r="D561" s="72"/>
      <c r="E561" s="71"/>
      <c r="F561" s="110" t="s">
        <v>824</v>
      </c>
      <c r="G561" s="119" t="s">
        <v>272</v>
      </c>
      <c r="H561" s="146">
        <v>1</v>
      </c>
      <c r="I561" s="96" t="s">
        <v>27</v>
      </c>
      <c r="J561" s="119" t="s">
        <v>254</v>
      </c>
      <c r="K561" s="77"/>
      <c r="L561" s="77">
        <f>H561*12000000</f>
        <v>12000000</v>
      </c>
      <c r="M561" s="77"/>
      <c r="N561" s="77"/>
      <c r="O561" s="77"/>
      <c r="P561" s="77"/>
      <c r="Q561" s="78">
        <f t="shared" si="34"/>
        <v>12000000</v>
      </c>
      <c r="R561" s="57" t="s">
        <v>397</v>
      </c>
      <c r="S561" s="82" t="s">
        <v>250</v>
      </c>
      <c r="T561" s="117"/>
      <c r="U561" s="117"/>
    </row>
    <row r="562" spans="1:21" s="115" customFormat="1" ht="48" customHeight="1">
      <c r="A562" s="82"/>
      <c r="B562" s="110"/>
      <c r="C562" s="56"/>
      <c r="D562" s="72"/>
      <c r="E562" s="71"/>
      <c r="F562" s="110" t="s">
        <v>827</v>
      </c>
      <c r="G562" s="119" t="s">
        <v>233</v>
      </c>
      <c r="H562" s="146">
        <v>3</v>
      </c>
      <c r="I562" s="96" t="s">
        <v>27</v>
      </c>
      <c r="J562" s="119" t="s">
        <v>254</v>
      </c>
      <c r="K562" s="77"/>
      <c r="L562" s="77">
        <f>H562*2250000</f>
        <v>6750000</v>
      </c>
      <c r="M562" s="77"/>
      <c r="N562" s="77"/>
      <c r="O562" s="77"/>
      <c r="P562" s="77"/>
      <c r="Q562" s="78">
        <f t="shared" si="34"/>
        <v>6750000</v>
      </c>
      <c r="R562" s="57" t="s">
        <v>397</v>
      </c>
      <c r="S562" s="82" t="s">
        <v>250</v>
      </c>
      <c r="T562" s="117"/>
      <c r="U562" s="117"/>
    </row>
    <row r="563" spans="1:21" s="115" customFormat="1" ht="48" customHeight="1">
      <c r="A563" s="82"/>
      <c r="B563" s="110"/>
      <c r="C563" s="56"/>
      <c r="D563" s="72"/>
      <c r="E563" s="71"/>
      <c r="F563" s="110" t="s">
        <v>828</v>
      </c>
      <c r="G563" s="119" t="s">
        <v>829</v>
      </c>
      <c r="H563" s="146">
        <v>2</v>
      </c>
      <c r="I563" s="96" t="s">
        <v>27</v>
      </c>
      <c r="J563" s="119" t="s">
        <v>254</v>
      </c>
      <c r="K563" s="77">
        <f>H563*6500000</f>
        <v>13000000</v>
      </c>
      <c r="L563" s="77"/>
      <c r="M563" s="77"/>
      <c r="N563" s="77"/>
      <c r="O563" s="77"/>
      <c r="P563" s="77"/>
      <c r="Q563" s="78">
        <f t="shared" si="34"/>
        <v>13000000</v>
      </c>
      <c r="R563" s="57" t="s">
        <v>397</v>
      </c>
      <c r="S563" s="82" t="s">
        <v>250</v>
      </c>
      <c r="T563" s="117"/>
      <c r="U563" s="117"/>
    </row>
    <row r="564" spans="1:21" s="115" customFormat="1" ht="48" customHeight="1">
      <c r="A564" s="82"/>
      <c r="B564" s="110"/>
      <c r="C564" s="56"/>
      <c r="D564" s="72"/>
      <c r="E564" s="71"/>
      <c r="F564" s="112" t="s">
        <v>830</v>
      </c>
      <c r="G564" s="119" t="s">
        <v>272</v>
      </c>
      <c r="H564" s="146">
        <v>1</v>
      </c>
      <c r="I564" s="96" t="s">
        <v>27</v>
      </c>
      <c r="J564" s="119" t="s">
        <v>254</v>
      </c>
      <c r="K564" s="77"/>
      <c r="L564" s="77">
        <f>H564*2250000</f>
        <v>2250000</v>
      </c>
      <c r="M564" s="77"/>
      <c r="N564" s="77"/>
      <c r="O564" s="77"/>
      <c r="P564" s="77"/>
      <c r="Q564" s="78">
        <f t="shared" si="34"/>
        <v>2250000</v>
      </c>
      <c r="R564" s="57" t="s">
        <v>397</v>
      </c>
      <c r="S564" s="82" t="s">
        <v>250</v>
      </c>
      <c r="T564" s="117"/>
      <c r="U564" s="117"/>
    </row>
    <row r="565" spans="1:21" s="115" customFormat="1" ht="48" customHeight="1">
      <c r="A565" s="82"/>
      <c r="B565" s="110"/>
      <c r="C565" s="56"/>
      <c r="D565" s="72"/>
      <c r="E565" s="71"/>
      <c r="F565" s="112" t="s">
        <v>831</v>
      </c>
      <c r="G565" s="119" t="s">
        <v>272</v>
      </c>
      <c r="H565" s="146">
        <v>1</v>
      </c>
      <c r="I565" s="96" t="s">
        <v>27</v>
      </c>
      <c r="J565" s="119" t="s">
        <v>254</v>
      </c>
      <c r="K565" s="77">
        <f>H565*3500000</f>
        <v>3500000</v>
      </c>
      <c r="L565" s="77"/>
      <c r="M565" s="77"/>
      <c r="N565" s="77"/>
      <c r="O565" s="77"/>
      <c r="P565" s="77"/>
      <c r="Q565" s="78">
        <f t="shared" si="34"/>
        <v>3500000</v>
      </c>
      <c r="R565" s="57" t="s">
        <v>397</v>
      </c>
      <c r="S565" s="82" t="s">
        <v>250</v>
      </c>
      <c r="T565" s="117"/>
      <c r="U565" s="117"/>
    </row>
    <row r="566" spans="1:21" s="115" customFormat="1" ht="48" customHeight="1">
      <c r="A566" s="82"/>
      <c r="B566" s="110"/>
      <c r="C566" s="56"/>
      <c r="D566" s="72"/>
      <c r="E566" s="71"/>
      <c r="F566" s="112" t="s">
        <v>832</v>
      </c>
      <c r="G566" s="119" t="s">
        <v>272</v>
      </c>
      <c r="H566" s="146">
        <v>1</v>
      </c>
      <c r="I566" s="96" t="s">
        <v>27</v>
      </c>
      <c r="J566" s="119" t="s">
        <v>254</v>
      </c>
      <c r="K566" s="77"/>
      <c r="L566" s="77"/>
      <c r="M566" s="77">
        <f>H566*500000</f>
        <v>500000</v>
      </c>
      <c r="N566" s="77"/>
      <c r="O566" s="77"/>
      <c r="P566" s="77"/>
      <c r="Q566" s="78">
        <f t="shared" si="34"/>
        <v>500000</v>
      </c>
      <c r="R566" s="57" t="s">
        <v>397</v>
      </c>
      <c r="S566" s="82" t="s">
        <v>250</v>
      </c>
      <c r="T566" s="117"/>
      <c r="U566" s="117"/>
    </row>
    <row r="567" spans="1:21" s="115" customFormat="1" ht="48" customHeight="1">
      <c r="A567" s="82"/>
      <c r="B567" s="110"/>
      <c r="C567" s="56"/>
      <c r="D567" s="72"/>
      <c r="E567" s="71"/>
      <c r="F567" s="112" t="s">
        <v>833</v>
      </c>
      <c r="G567" s="119" t="s">
        <v>227</v>
      </c>
      <c r="H567" s="146">
        <v>2</v>
      </c>
      <c r="I567" s="96" t="s">
        <v>27</v>
      </c>
      <c r="J567" s="119" t="s">
        <v>254</v>
      </c>
      <c r="K567" s="77"/>
      <c r="L567" s="77">
        <f>H567*2250000</f>
        <v>4500000</v>
      </c>
      <c r="M567" s="77"/>
      <c r="N567" s="77"/>
      <c r="O567" s="77"/>
      <c r="P567" s="77"/>
      <c r="Q567" s="78">
        <f t="shared" si="34"/>
        <v>4500000</v>
      </c>
      <c r="R567" s="57" t="s">
        <v>397</v>
      </c>
      <c r="S567" s="82" t="s">
        <v>250</v>
      </c>
      <c r="T567" s="117"/>
      <c r="U567" s="117"/>
    </row>
    <row r="568" spans="1:21" s="115" customFormat="1" ht="48" customHeight="1">
      <c r="A568" s="82"/>
      <c r="B568" s="110"/>
      <c r="C568" s="56"/>
      <c r="D568" s="72"/>
      <c r="E568" s="71"/>
      <c r="F568" s="112" t="s">
        <v>834</v>
      </c>
      <c r="G568" s="119" t="s">
        <v>792</v>
      </c>
      <c r="H568" s="146">
        <v>2</v>
      </c>
      <c r="I568" s="96" t="s">
        <v>27</v>
      </c>
      <c r="J568" s="119" t="s">
        <v>254</v>
      </c>
      <c r="K568" s="77"/>
      <c r="L568" s="77">
        <v>19800000</v>
      </c>
      <c r="M568" s="77"/>
      <c r="N568" s="77"/>
      <c r="O568" s="77"/>
      <c r="P568" s="77">
        <v>19800000</v>
      </c>
      <c r="Q568" s="78">
        <f t="shared" si="34"/>
        <v>39600000</v>
      </c>
      <c r="R568" s="57" t="s">
        <v>397</v>
      </c>
      <c r="S568" s="82" t="s">
        <v>250</v>
      </c>
      <c r="T568" s="117"/>
      <c r="U568" s="117"/>
    </row>
    <row r="569" spans="1:21" s="115" customFormat="1" ht="48" customHeight="1">
      <c r="A569" s="82"/>
      <c r="B569" s="110"/>
      <c r="C569" s="56"/>
      <c r="D569" s="72"/>
      <c r="E569" s="71"/>
      <c r="F569" s="112" t="s">
        <v>835</v>
      </c>
      <c r="G569" s="119" t="s">
        <v>792</v>
      </c>
      <c r="H569" s="146">
        <v>1</v>
      </c>
      <c r="I569" s="96" t="s">
        <v>27</v>
      </c>
      <c r="J569" s="119" t="s">
        <v>254</v>
      </c>
      <c r="K569" s="77">
        <f>H569*12000000</f>
        <v>12000000</v>
      </c>
      <c r="L569" s="77"/>
      <c r="M569" s="77"/>
      <c r="N569" s="77"/>
      <c r="O569" s="77"/>
      <c r="P569" s="77"/>
      <c r="Q569" s="78">
        <f t="shared" si="34"/>
        <v>12000000</v>
      </c>
      <c r="R569" s="57" t="s">
        <v>397</v>
      </c>
      <c r="S569" s="82" t="s">
        <v>250</v>
      </c>
      <c r="T569" s="117"/>
      <c r="U569" s="117"/>
    </row>
    <row r="570" spans="1:21" s="115" customFormat="1" ht="48" customHeight="1">
      <c r="A570" s="82"/>
      <c r="B570" s="110"/>
      <c r="C570" s="56"/>
      <c r="D570" s="72"/>
      <c r="E570" s="71"/>
      <c r="F570" s="112" t="s">
        <v>836</v>
      </c>
      <c r="G570" s="119" t="s">
        <v>267</v>
      </c>
      <c r="H570" s="146">
        <v>8</v>
      </c>
      <c r="I570" s="96" t="s">
        <v>27</v>
      </c>
      <c r="J570" s="119" t="s">
        <v>254</v>
      </c>
      <c r="K570" s="77">
        <f>H570*500000</f>
        <v>4000000</v>
      </c>
      <c r="L570" s="77"/>
      <c r="M570" s="77"/>
      <c r="N570" s="77"/>
      <c r="O570" s="77"/>
      <c r="P570" s="77"/>
      <c r="Q570" s="78">
        <f t="shared" si="34"/>
        <v>4000000</v>
      </c>
      <c r="R570" s="57" t="s">
        <v>397</v>
      </c>
      <c r="S570" s="82" t="s">
        <v>250</v>
      </c>
      <c r="T570" s="117"/>
      <c r="U570" s="117"/>
    </row>
    <row r="571" spans="1:21" s="115" customFormat="1" ht="48" customHeight="1">
      <c r="A571" s="82"/>
      <c r="B571" s="110"/>
      <c r="C571" s="56"/>
      <c r="D571" s="72"/>
      <c r="E571" s="71"/>
      <c r="F571" s="112" t="s">
        <v>824</v>
      </c>
      <c r="G571" s="119" t="s">
        <v>267</v>
      </c>
      <c r="H571" s="146">
        <v>1</v>
      </c>
      <c r="I571" s="96" t="s">
        <v>27</v>
      </c>
      <c r="J571" s="119" t="s">
        <v>254</v>
      </c>
      <c r="K571" s="77"/>
      <c r="L571" s="77"/>
      <c r="M571" s="77"/>
      <c r="N571" s="77"/>
      <c r="O571" s="77">
        <v>12000000</v>
      </c>
      <c r="P571" s="77"/>
      <c r="Q571" s="78">
        <f t="shared" si="34"/>
        <v>12000000</v>
      </c>
      <c r="R571" s="57" t="s">
        <v>397</v>
      </c>
      <c r="S571" s="82" t="s">
        <v>250</v>
      </c>
      <c r="T571" s="117"/>
      <c r="U571" s="117"/>
    </row>
    <row r="572" spans="1:21" s="115" customFormat="1" ht="48" customHeight="1">
      <c r="A572" s="82"/>
      <c r="B572" s="110"/>
      <c r="C572" s="56"/>
      <c r="D572" s="72"/>
      <c r="E572" s="71"/>
      <c r="F572" s="112" t="s">
        <v>827</v>
      </c>
      <c r="G572" s="119" t="s">
        <v>268</v>
      </c>
      <c r="H572" s="146">
        <v>1</v>
      </c>
      <c r="I572" s="96" t="s">
        <v>27</v>
      </c>
      <c r="J572" s="119" t="s">
        <v>254</v>
      </c>
      <c r="K572" s="77"/>
      <c r="L572" s="77">
        <f>H572*2250000</f>
        <v>2250000</v>
      </c>
      <c r="M572" s="77"/>
      <c r="N572" s="77"/>
      <c r="O572" s="77"/>
      <c r="P572" s="77"/>
      <c r="Q572" s="78">
        <f t="shared" si="34"/>
        <v>2250000</v>
      </c>
      <c r="R572" s="57" t="s">
        <v>397</v>
      </c>
      <c r="S572" s="82" t="s">
        <v>250</v>
      </c>
      <c r="T572" s="117"/>
      <c r="U572" s="117"/>
    </row>
    <row r="573" spans="1:21" s="115" customFormat="1" ht="48" customHeight="1">
      <c r="A573" s="82"/>
      <c r="B573" s="110"/>
      <c r="C573" s="56"/>
      <c r="D573" s="72"/>
      <c r="E573" s="71"/>
      <c r="F573" s="112" t="s">
        <v>837</v>
      </c>
      <c r="G573" s="119" t="s">
        <v>268</v>
      </c>
      <c r="H573" s="146">
        <v>3</v>
      </c>
      <c r="I573" s="96" t="s">
        <v>27</v>
      </c>
      <c r="J573" s="119" t="s">
        <v>254</v>
      </c>
      <c r="K573" s="77">
        <f>H573*500000</f>
        <v>1500000</v>
      </c>
      <c r="L573" s="77"/>
      <c r="M573" s="77"/>
      <c r="N573" s="77"/>
      <c r="O573" s="77"/>
      <c r="P573" s="77"/>
      <c r="Q573" s="78">
        <f t="shared" si="34"/>
        <v>1500000</v>
      </c>
      <c r="R573" s="57" t="s">
        <v>397</v>
      </c>
      <c r="S573" s="82" t="s">
        <v>250</v>
      </c>
      <c r="T573" s="117"/>
      <c r="U573" s="117"/>
    </row>
    <row r="574" spans="1:21" s="115" customFormat="1" ht="48" customHeight="1">
      <c r="A574" s="82"/>
      <c r="B574" s="110"/>
      <c r="C574" s="56"/>
      <c r="D574" s="72"/>
      <c r="E574" s="71"/>
      <c r="F574" s="133" t="s">
        <v>204</v>
      </c>
      <c r="G574" s="94"/>
      <c r="H574" s="95"/>
      <c r="I574" s="96"/>
      <c r="J574" s="119"/>
      <c r="K574" s="77"/>
      <c r="L574" s="77"/>
      <c r="M574" s="105"/>
      <c r="N574" s="77"/>
      <c r="O574" s="77"/>
      <c r="P574" s="77"/>
      <c r="Q574" s="78">
        <f t="shared" si="34"/>
        <v>0</v>
      </c>
      <c r="R574" s="57"/>
      <c r="S574" s="117"/>
      <c r="T574" s="117"/>
      <c r="U574" s="117"/>
    </row>
    <row r="575" spans="1:21" s="115" customFormat="1" ht="48" customHeight="1">
      <c r="A575" s="82"/>
      <c r="B575" s="110"/>
      <c r="C575" s="56"/>
      <c r="D575" s="72"/>
      <c r="E575" s="71"/>
      <c r="F575" s="112" t="s">
        <v>838</v>
      </c>
      <c r="G575" s="94" t="s">
        <v>551</v>
      </c>
      <c r="H575" s="95">
        <v>1</v>
      </c>
      <c r="I575" s="96" t="s">
        <v>27</v>
      </c>
      <c r="J575" s="119" t="s">
        <v>298</v>
      </c>
      <c r="K575" s="77"/>
      <c r="L575" s="77"/>
      <c r="M575" s="105"/>
      <c r="N575" s="77"/>
      <c r="O575" s="77"/>
      <c r="P575" s="77">
        <v>15000000</v>
      </c>
      <c r="Q575" s="78">
        <f t="shared" si="34"/>
        <v>15000000</v>
      </c>
      <c r="R575" s="57" t="s">
        <v>21</v>
      </c>
      <c r="S575" s="82" t="s">
        <v>250</v>
      </c>
      <c r="T575" s="117"/>
      <c r="U575" s="117"/>
    </row>
    <row r="576" spans="1:21" s="115" customFormat="1" ht="48" customHeight="1">
      <c r="A576" s="82"/>
      <c r="B576" s="110"/>
      <c r="C576" s="56"/>
      <c r="D576" s="72"/>
      <c r="E576" s="71"/>
      <c r="F576" s="133" t="s">
        <v>203</v>
      </c>
      <c r="G576" s="94"/>
      <c r="H576" s="95"/>
      <c r="I576" s="96"/>
      <c r="J576" s="119"/>
      <c r="K576" s="77"/>
      <c r="L576" s="77"/>
      <c r="M576" s="105"/>
      <c r="N576" s="77"/>
      <c r="O576" s="77"/>
      <c r="P576" s="77"/>
      <c r="Q576" s="78">
        <f t="shared" si="34"/>
        <v>0</v>
      </c>
      <c r="R576" s="57"/>
      <c r="S576" s="117"/>
      <c r="T576" s="117"/>
      <c r="U576" s="117"/>
    </row>
    <row r="577" spans="1:22" s="115" customFormat="1" ht="48" customHeight="1">
      <c r="A577" s="82"/>
      <c r="B577" s="110"/>
      <c r="C577" s="56"/>
      <c r="D577" s="72"/>
      <c r="E577" s="71"/>
      <c r="F577" s="112" t="s">
        <v>839</v>
      </c>
      <c r="G577" s="94" t="s">
        <v>275</v>
      </c>
      <c r="H577" s="95">
        <v>32</v>
      </c>
      <c r="I577" s="96" t="s">
        <v>55</v>
      </c>
      <c r="J577" s="119" t="s">
        <v>840</v>
      </c>
      <c r="K577" s="77">
        <f>H577*150000</f>
        <v>4800000</v>
      </c>
      <c r="L577" s="77">
        <f>K577</f>
        <v>4800000</v>
      </c>
      <c r="M577" s="77">
        <f t="shared" ref="M577:P577" si="36">L577</f>
        <v>4800000</v>
      </c>
      <c r="N577" s="77">
        <f t="shared" si="36"/>
        <v>4800000</v>
      </c>
      <c r="O577" s="77">
        <f t="shared" si="36"/>
        <v>4800000</v>
      </c>
      <c r="P577" s="77">
        <f t="shared" si="36"/>
        <v>4800000</v>
      </c>
      <c r="Q577" s="78">
        <f t="shared" si="34"/>
        <v>28800000</v>
      </c>
      <c r="R577" s="57" t="s">
        <v>21</v>
      </c>
      <c r="S577" s="82" t="s">
        <v>250</v>
      </c>
      <c r="T577" s="117"/>
      <c r="U577" s="117"/>
    </row>
    <row r="578" spans="1:22" s="115" customFormat="1" ht="48" customHeight="1">
      <c r="A578" s="82"/>
      <c r="B578" s="110"/>
      <c r="C578" s="56"/>
      <c r="D578" s="72"/>
      <c r="E578" s="71"/>
      <c r="F578" s="133" t="s">
        <v>202</v>
      </c>
      <c r="G578" s="94"/>
      <c r="H578" s="95"/>
      <c r="I578" s="96"/>
      <c r="J578" s="119"/>
      <c r="K578" s="159"/>
      <c r="L578" s="77"/>
      <c r="M578" s="77"/>
      <c r="N578" s="77"/>
      <c r="O578" s="77"/>
      <c r="P578" s="77"/>
      <c r="Q578" s="78">
        <f t="shared" si="34"/>
        <v>0</v>
      </c>
      <c r="R578" s="57"/>
      <c r="S578" s="117"/>
      <c r="T578" s="117"/>
      <c r="U578" s="117"/>
    </row>
    <row r="579" spans="1:22" s="116" customFormat="1" ht="48" customHeight="1">
      <c r="A579" s="82"/>
      <c r="B579" s="110"/>
      <c r="C579" s="56"/>
      <c r="D579" s="72"/>
      <c r="E579" s="71"/>
      <c r="F579" s="142" t="s">
        <v>841</v>
      </c>
      <c r="G579" s="94" t="s">
        <v>275</v>
      </c>
      <c r="H579" s="95">
        <v>1</v>
      </c>
      <c r="I579" s="96" t="s">
        <v>842</v>
      </c>
      <c r="J579" s="119" t="s">
        <v>298</v>
      </c>
      <c r="K579" s="170">
        <f>H579*3000000</f>
        <v>3000000</v>
      </c>
      <c r="L579" s="77"/>
      <c r="M579" s="77"/>
      <c r="N579" s="77"/>
      <c r="O579" s="77"/>
      <c r="P579" s="77"/>
      <c r="Q579" s="78">
        <f t="shared" si="34"/>
        <v>3000000</v>
      </c>
      <c r="R579" s="57" t="s">
        <v>21</v>
      </c>
      <c r="S579" s="82" t="s">
        <v>250</v>
      </c>
      <c r="T579" s="117"/>
      <c r="U579" s="117"/>
      <c r="V579" s="163"/>
    </row>
    <row r="580" spans="1:22" s="116" customFormat="1" ht="48" customHeight="1">
      <c r="A580" s="82"/>
      <c r="B580" s="110"/>
      <c r="C580" s="56"/>
      <c r="D580" s="72"/>
      <c r="E580" s="71"/>
      <c r="F580" s="142" t="s">
        <v>843</v>
      </c>
      <c r="G580" s="94" t="s">
        <v>561</v>
      </c>
      <c r="H580" s="95">
        <v>1</v>
      </c>
      <c r="I580" s="96" t="s">
        <v>842</v>
      </c>
      <c r="J580" s="119" t="s">
        <v>298</v>
      </c>
      <c r="K580" s="170"/>
      <c r="L580" s="77"/>
      <c r="M580" s="77">
        <v>3000000</v>
      </c>
      <c r="N580" s="77"/>
      <c r="O580" s="77"/>
      <c r="P580" s="77"/>
      <c r="Q580" s="78">
        <f t="shared" si="34"/>
        <v>3000000</v>
      </c>
      <c r="R580" s="57" t="s">
        <v>21</v>
      </c>
      <c r="S580" s="82" t="s">
        <v>250</v>
      </c>
      <c r="T580" s="117"/>
      <c r="U580" s="117"/>
      <c r="V580" s="163"/>
    </row>
    <row r="581" spans="1:22" s="116" customFormat="1" ht="48" customHeight="1">
      <c r="A581" s="82"/>
      <c r="B581" s="110"/>
      <c r="C581" s="56"/>
      <c r="D581" s="72"/>
      <c r="E581" s="71"/>
      <c r="F581" s="142" t="s">
        <v>844</v>
      </c>
      <c r="G581" s="94" t="s">
        <v>271</v>
      </c>
      <c r="H581" s="95">
        <v>1</v>
      </c>
      <c r="I581" s="96" t="s">
        <v>842</v>
      </c>
      <c r="J581" s="119" t="s">
        <v>298</v>
      </c>
      <c r="K581" s="170"/>
      <c r="L581" s="77">
        <v>3000000</v>
      </c>
      <c r="M581" s="77"/>
      <c r="N581" s="77"/>
      <c r="O581" s="77"/>
      <c r="P581" s="77"/>
      <c r="Q581" s="78">
        <f t="shared" si="34"/>
        <v>3000000</v>
      </c>
      <c r="R581" s="57" t="s">
        <v>21</v>
      </c>
      <c r="S581" s="82" t="s">
        <v>250</v>
      </c>
      <c r="T581" s="117"/>
      <c r="U581" s="117"/>
      <c r="V581" s="163"/>
    </row>
    <row r="582" spans="1:22" s="116" customFormat="1" ht="48" customHeight="1">
      <c r="A582" s="82"/>
      <c r="B582" s="110"/>
      <c r="C582" s="56"/>
      <c r="D582" s="72"/>
      <c r="E582" s="71"/>
      <c r="F582" s="133" t="s">
        <v>291</v>
      </c>
      <c r="G582" s="94"/>
      <c r="H582" s="95"/>
      <c r="I582" s="96"/>
      <c r="J582" s="119"/>
      <c r="K582" s="159"/>
      <c r="L582" s="77"/>
      <c r="M582" s="77"/>
      <c r="N582" s="77"/>
      <c r="O582" s="77"/>
      <c r="P582" s="77"/>
      <c r="Q582" s="78">
        <f t="shared" si="34"/>
        <v>0</v>
      </c>
      <c r="R582" s="57"/>
      <c r="S582" s="117"/>
      <c r="T582" s="117"/>
      <c r="U582" s="117"/>
      <c r="V582" s="163"/>
    </row>
    <row r="583" spans="1:22" s="116" customFormat="1" ht="48" customHeight="1">
      <c r="A583" s="82"/>
      <c r="B583" s="110"/>
      <c r="C583" s="56"/>
      <c r="D583" s="72"/>
      <c r="E583" s="71"/>
      <c r="F583" s="142" t="s">
        <v>845</v>
      </c>
      <c r="G583" s="94" t="s">
        <v>275</v>
      </c>
      <c r="H583" s="95">
        <v>1</v>
      </c>
      <c r="I583" s="96" t="s">
        <v>842</v>
      </c>
      <c r="J583" s="119" t="s">
        <v>736</v>
      </c>
      <c r="K583" s="159"/>
      <c r="L583" s="77">
        <f>H583*3000000</f>
        <v>3000000</v>
      </c>
      <c r="M583" s="77"/>
      <c r="N583" s="77"/>
      <c r="O583" s="77"/>
      <c r="P583" s="77"/>
      <c r="Q583" s="78">
        <f t="shared" si="34"/>
        <v>3000000</v>
      </c>
      <c r="R583" s="57" t="s">
        <v>21</v>
      </c>
      <c r="S583" s="82" t="s">
        <v>250</v>
      </c>
      <c r="T583" s="117"/>
      <c r="U583" s="117"/>
      <c r="V583" s="163"/>
    </row>
    <row r="584" spans="1:22" s="116" customFormat="1" ht="48" customHeight="1">
      <c r="A584" s="82"/>
      <c r="B584" s="110"/>
      <c r="C584" s="56"/>
      <c r="D584" s="72"/>
      <c r="E584" s="71"/>
      <c r="F584" s="133" t="s">
        <v>205</v>
      </c>
      <c r="G584" s="94"/>
      <c r="H584" s="95"/>
      <c r="I584" s="96"/>
      <c r="J584" s="119"/>
      <c r="K584" s="159"/>
      <c r="L584" s="77"/>
      <c r="M584" s="77"/>
      <c r="N584" s="77"/>
      <c r="O584" s="77"/>
      <c r="P584" s="77"/>
      <c r="Q584" s="78">
        <f t="shared" si="34"/>
        <v>0</v>
      </c>
      <c r="R584" s="57"/>
      <c r="S584" s="117"/>
      <c r="T584" s="117"/>
      <c r="U584" s="117"/>
      <c r="V584" s="163"/>
    </row>
    <row r="585" spans="1:22" s="116" customFormat="1" ht="48" customHeight="1">
      <c r="A585" s="82"/>
      <c r="B585" s="110"/>
      <c r="C585" s="56"/>
      <c r="D585" s="72"/>
      <c r="E585" s="71"/>
      <c r="F585" s="112" t="s">
        <v>846</v>
      </c>
      <c r="G585" s="94" t="s">
        <v>561</v>
      </c>
      <c r="H585" s="95">
        <v>1</v>
      </c>
      <c r="I585" s="96" t="s">
        <v>27</v>
      </c>
      <c r="J585" s="119" t="s">
        <v>298</v>
      </c>
      <c r="K585" s="77"/>
      <c r="L585" s="77">
        <f>H585*15000000</f>
        <v>15000000</v>
      </c>
      <c r="M585" s="77"/>
      <c r="N585" s="77"/>
      <c r="O585" s="105"/>
      <c r="P585" s="105"/>
      <c r="Q585" s="78">
        <f t="shared" si="34"/>
        <v>15000000</v>
      </c>
      <c r="R585" s="57" t="s">
        <v>397</v>
      </c>
      <c r="S585" s="82" t="s">
        <v>250</v>
      </c>
      <c r="T585" s="117"/>
      <c r="U585" s="117"/>
      <c r="V585" s="163"/>
    </row>
    <row r="586" spans="1:22" s="116" customFormat="1" ht="48" customHeight="1">
      <c r="A586" s="82"/>
      <c r="B586" s="110"/>
      <c r="C586" s="56"/>
      <c r="D586" s="72"/>
      <c r="E586" s="71"/>
      <c r="F586" s="112" t="s">
        <v>847</v>
      </c>
      <c r="G586" s="94" t="s">
        <v>437</v>
      </c>
      <c r="H586" s="95">
        <v>15</v>
      </c>
      <c r="I586" s="96" t="s">
        <v>842</v>
      </c>
      <c r="J586" s="119" t="s">
        <v>298</v>
      </c>
      <c r="K586" s="77">
        <v>50000000</v>
      </c>
      <c r="L586" s="77"/>
      <c r="M586" s="77"/>
      <c r="N586" s="77"/>
      <c r="O586" s="105"/>
      <c r="P586" s="105"/>
      <c r="Q586" s="78">
        <f t="shared" si="34"/>
        <v>50000000</v>
      </c>
      <c r="R586" s="57" t="s">
        <v>397</v>
      </c>
      <c r="S586" s="82" t="s">
        <v>250</v>
      </c>
      <c r="T586" s="117"/>
      <c r="U586" s="117"/>
      <c r="V586" s="163"/>
    </row>
    <row r="587" spans="1:22" s="116" customFormat="1" ht="48" customHeight="1">
      <c r="A587" s="82"/>
      <c r="B587" s="110"/>
      <c r="C587" s="56"/>
      <c r="D587" s="72"/>
      <c r="E587" s="71"/>
      <c r="F587" s="112" t="s">
        <v>848</v>
      </c>
      <c r="G587" s="94" t="s">
        <v>504</v>
      </c>
      <c r="H587" s="95">
        <v>2</v>
      </c>
      <c r="I587" s="96" t="s">
        <v>842</v>
      </c>
      <c r="J587" s="119" t="s">
        <v>298</v>
      </c>
      <c r="K587" s="77">
        <v>50000000</v>
      </c>
      <c r="L587" s="77"/>
      <c r="M587" s="77"/>
      <c r="N587" s="77"/>
      <c r="O587" s="105"/>
      <c r="P587" s="105"/>
      <c r="Q587" s="78">
        <f t="shared" si="34"/>
        <v>50000000</v>
      </c>
      <c r="R587" s="57" t="s">
        <v>397</v>
      </c>
      <c r="S587" s="82" t="s">
        <v>250</v>
      </c>
      <c r="T587" s="117"/>
      <c r="U587" s="117"/>
      <c r="V587" s="163"/>
    </row>
    <row r="588" spans="1:22" s="116" customFormat="1" ht="48" customHeight="1">
      <c r="A588" s="82"/>
      <c r="B588" s="110"/>
      <c r="C588" s="56"/>
      <c r="D588" s="72"/>
      <c r="E588" s="71"/>
      <c r="F588" s="112" t="s">
        <v>847</v>
      </c>
      <c r="G588" s="94" t="s">
        <v>268</v>
      </c>
      <c r="H588" s="95">
        <v>1</v>
      </c>
      <c r="I588" s="96" t="s">
        <v>842</v>
      </c>
      <c r="J588" s="119" t="s">
        <v>298</v>
      </c>
      <c r="K588" s="77"/>
      <c r="L588" s="77">
        <v>50000000</v>
      </c>
      <c r="M588" s="77"/>
      <c r="N588" s="77"/>
      <c r="O588" s="105"/>
      <c r="P588" s="105"/>
      <c r="Q588" s="78">
        <f t="shared" si="34"/>
        <v>50000000</v>
      </c>
      <c r="R588" s="57" t="s">
        <v>397</v>
      </c>
      <c r="S588" s="82" t="s">
        <v>250</v>
      </c>
      <c r="T588" s="117"/>
      <c r="U588" s="117"/>
      <c r="V588" s="163"/>
    </row>
    <row r="589" spans="1:22" s="116" customFormat="1" ht="48" customHeight="1">
      <c r="A589" s="82"/>
      <c r="B589" s="110"/>
      <c r="C589" s="56"/>
      <c r="D589" s="72"/>
      <c r="E589" s="71"/>
      <c r="F589" s="112" t="s">
        <v>849</v>
      </c>
      <c r="G589" s="94" t="s">
        <v>227</v>
      </c>
      <c r="H589" s="95">
        <v>14</v>
      </c>
      <c r="I589" s="96" t="s">
        <v>850</v>
      </c>
      <c r="J589" s="119" t="s">
        <v>298</v>
      </c>
      <c r="K589" s="77">
        <f>120000*100</f>
        <v>12000000</v>
      </c>
      <c r="L589" s="77"/>
      <c r="M589" s="77"/>
      <c r="N589" s="77"/>
      <c r="O589" s="105"/>
      <c r="P589" s="105"/>
      <c r="Q589" s="78">
        <f t="shared" si="34"/>
        <v>12000000</v>
      </c>
      <c r="R589" s="57" t="s">
        <v>397</v>
      </c>
      <c r="S589" s="82" t="s">
        <v>250</v>
      </c>
      <c r="T589" s="117"/>
      <c r="U589" s="117"/>
      <c r="V589" s="163"/>
    </row>
    <row r="590" spans="1:22" s="116" customFormat="1" ht="66.75" customHeight="1">
      <c r="A590" s="82"/>
      <c r="B590" s="110"/>
      <c r="C590" s="56"/>
      <c r="D590" s="72"/>
      <c r="E590" s="71"/>
      <c r="F590" s="133" t="s">
        <v>33</v>
      </c>
      <c r="G590" s="94"/>
      <c r="H590" s="95"/>
      <c r="I590" s="96"/>
      <c r="J590" s="119"/>
      <c r="K590" s="77"/>
      <c r="L590" s="77"/>
      <c r="M590" s="77"/>
      <c r="N590" s="77"/>
      <c r="O590" s="105"/>
      <c r="P590" s="105"/>
      <c r="Q590" s="78">
        <f t="shared" si="34"/>
        <v>0</v>
      </c>
      <c r="R590" s="57"/>
      <c r="S590" s="117"/>
      <c r="T590" s="117"/>
      <c r="U590" s="117"/>
      <c r="V590" s="163"/>
    </row>
    <row r="591" spans="1:22" s="116" customFormat="1" ht="48" customHeight="1">
      <c r="A591" s="82"/>
      <c r="B591" s="110"/>
      <c r="C591" s="56"/>
      <c r="D591" s="72"/>
      <c r="E591" s="71"/>
      <c r="F591" s="112" t="s">
        <v>851</v>
      </c>
      <c r="G591" s="94" t="s">
        <v>561</v>
      </c>
      <c r="H591" s="95">
        <v>1</v>
      </c>
      <c r="I591" s="96" t="s">
        <v>842</v>
      </c>
      <c r="J591" s="119" t="s">
        <v>298</v>
      </c>
      <c r="K591" s="77">
        <v>3000000</v>
      </c>
      <c r="L591" s="77">
        <v>3000000</v>
      </c>
      <c r="M591" s="77">
        <v>3000000</v>
      </c>
      <c r="N591" s="77">
        <v>3000000</v>
      </c>
      <c r="O591" s="77">
        <v>3000000</v>
      </c>
      <c r="P591" s="77">
        <v>3000000</v>
      </c>
      <c r="Q591" s="78">
        <f t="shared" si="34"/>
        <v>18000000</v>
      </c>
      <c r="R591" s="57" t="s">
        <v>21</v>
      </c>
      <c r="S591" s="82" t="s">
        <v>250</v>
      </c>
      <c r="T591" s="117"/>
      <c r="U591" s="117"/>
      <c r="V591" s="163"/>
    </row>
    <row r="592" spans="1:22" ht="71.25" customHeight="1">
      <c r="A592" s="82"/>
      <c r="B592" s="110"/>
      <c r="C592" s="57"/>
      <c r="D592" s="178" t="s">
        <v>206</v>
      </c>
      <c r="E592" s="57">
        <v>1</v>
      </c>
      <c r="F592" s="133" t="s">
        <v>207</v>
      </c>
      <c r="G592" s="119"/>
      <c r="H592" s="146"/>
      <c r="I592" s="82"/>
      <c r="J592" s="119"/>
      <c r="K592" s="77"/>
      <c r="L592" s="77"/>
      <c r="M592" s="77"/>
      <c r="N592" s="77"/>
      <c r="O592" s="77"/>
      <c r="P592" s="77"/>
      <c r="Q592" s="78">
        <f t="shared" si="34"/>
        <v>0</v>
      </c>
      <c r="R592" s="57"/>
      <c r="S592" s="129"/>
      <c r="T592" s="129"/>
      <c r="U592" s="129"/>
    </row>
    <row r="593" spans="1:21" ht="51.75" customHeight="1">
      <c r="A593" s="82"/>
      <c r="B593" s="110"/>
      <c r="C593" s="57"/>
      <c r="D593" s="119"/>
      <c r="E593" s="57"/>
      <c r="F593" s="93" t="s">
        <v>852</v>
      </c>
      <c r="G593" s="119" t="s">
        <v>853</v>
      </c>
      <c r="H593" s="146">
        <v>1</v>
      </c>
      <c r="I593" s="82" t="s">
        <v>255</v>
      </c>
      <c r="J593" s="119" t="s">
        <v>854</v>
      </c>
      <c r="K593" s="77">
        <v>75000000</v>
      </c>
      <c r="L593" s="77">
        <v>75000000</v>
      </c>
      <c r="M593" s="77">
        <v>75000000</v>
      </c>
      <c r="N593" s="77">
        <v>75000000</v>
      </c>
      <c r="O593" s="77">
        <v>75000000</v>
      </c>
      <c r="P593" s="77">
        <v>75000000</v>
      </c>
      <c r="Q593" s="78">
        <f t="shared" si="34"/>
        <v>450000000</v>
      </c>
      <c r="R593" s="57" t="s">
        <v>21</v>
      </c>
      <c r="S593" s="82" t="s">
        <v>250</v>
      </c>
      <c r="T593" s="129"/>
      <c r="U593" s="129"/>
    </row>
    <row r="594" spans="1:21" ht="85.5" customHeight="1">
      <c r="A594" s="82"/>
      <c r="B594" s="110"/>
      <c r="C594" s="57"/>
      <c r="D594" s="122" t="s">
        <v>855</v>
      </c>
      <c r="E594" s="57">
        <v>1</v>
      </c>
      <c r="F594" s="133" t="s">
        <v>211</v>
      </c>
      <c r="G594" s="119"/>
      <c r="H594" s="146"/>
      <c r="I594" s="82"/>
      <c r="J594" s="119"/>
      <c r="K594" s="77"/>
      <c r="L594" s="77"/>
      <c r="M594" s="77"/>
      <c r="N594" s="77"/>
      <c r="O594" s="77"/>
      <c r="P594" s="77"/>
      <c r="Q594" s="78">
        <f t="shared" si="34"/>
        <v>0</v>
      </c>
      <c r="R594" s="57"/>
      <c r="S594" s="129"/>
      <c r="T594" s="129"/>
      <c r="U594" s="129"/>
    </row>
    <row r="595" spans="1:21" s="115" customFormat="1" ht="46.5" customHeight="1">
      <c r="A595" s="82"/>
      <c r="B595" s="110"/>
      <c r="C595" s="57"/>
      <c r="D595" s="119"/>
      <c r="E595" s="57"/>
      <c r="F595" s="162" t="s">
        <v>856</v>
      </c>
      <c r="G595" s="94" t="s">
        <v>284</v>
      </c>
      <c r="H595" s="95">
        <v>1</v>
      </c>
      <c r="I595" s="96" t="s">
        <v>857</v>
      </c>
      <c r="J595" s="119" t="s">
        <v>254</v>
      </c>
      <c r="K595" s="77">
        <v>3000000</v>
      </c>
      <c r="L595" s="105"/>
      <c r="M595" s="77"/>
      <c r="N595" s="77"/>
      <c r="O595" s="77"/>
      <c r="P595" s="77"/>
      <c r="Q595" s="78">
        <f t="shared" si="34"/>
        <v>3000000</v>
      </c>
      <c r="R595" s="57" t="s">
        <v>21</v>
      </c>
      <c r="S595" s="82" t="s">
        <v>250</v>
      </c>
      <c r="T595" s="117"/>
      <c r="U595" s="117"/>
    </row>
    <row r="596" spans="1:21" s="115" customFormat="1" ht="46.5" customHeight="1">
      <c r="A596" s="82"/>
      <c r="B596" s="110"/>
      <c r="C596" s="57"/>
      <c r="D596" s="119"/>
      <c r="E596" s="57"/>
      <c r="F596" s="112" t="s">
        <v>858</v>
      </c>
      <c r="G596" s="94" t="s">
        <v>275</v>
      </c>
      <c r="H596" s="95">
        <v>1</v>
      </c>
      <c r="I596" s="96" t="s">
        <v>857</v>
      </c>
      <c r="J596" s="119" t="s">
        <v>254</v>
      </c>
      <c r="K596" s="105"/>
      <c r="L596" s="77">
        <v>3000000</v>
      </c>
      <c r="M596" s="77"/>
      <c r="N596" s="77"/>
      <c r="O596" s="77"/>
      <c r="P596" s="77"/>
      <c r="Q596" s="78">
        <f t="shared" si="34"/>
        <v>3000000</v>
      </c>
      <c r="R596" s="57" t="s">
        <v>21</v>
      </c>
      <c r="S596" s="82" t="s">
        <v>250</v>
      </c>
      <c r="T596" s="117"/>
      <c r="U596" s="117"/>
    </row>
    <row r="597" spans="1:21" s="115" customFormat="1" ht="46.5" customHeight="1">
      <c r="A597" s="82"/>
      <c r="B597" s="110"/>
      <c r="C597" s="57"/>
      <c r="D597" s="119"/>
      <c r="E597" s="57"/>
      <c r="F597" s="112" t="s">
        <v>859</v>
      </c>
      <c r="G597" s="94" t="s">
        <v>227</v>
      </c>
      <c r="H597" s="95">
        <v>1</v>
      </c>
      <c r="I597" s="96" t="s">
        <v>842</v>
      </c>
      <c r="J597" s="119" t="s">
        <v>254</v>
      </c>
      <c r="K597" s="105"/>
      <c r="L597" s="77">
        <v>3000000</v>
      </c>
      <c r="M597" s="77"/>
      <c r="N597" s="77"/>
      <c r="O597" s="77"/>
      <c r="P597" s="77"/>
      <c r="Q597" s="78">
        <f t="shared" si="34"/>
        <v>3000000</v>
      </c>
      <c r="R597" s="57" t="s">
        <v>21</v>
      </c>
      <c r="S597" s="82" t="s">
        <v>250</v>
      </c>
      <c r="T597" s="117"/>
      <c r="U597" s="117"/>
    </row>
    <row r="598" spans="1:21" ht="46.5" customHeight="1">
      <c r="A598" s="82"/>
      <c r="B598" s="110"/>
      <c r="C598" s="57"/>
      <c r="D598" s="119"/>
      <c r="E598" s="57"/>
      <c r="F598" s="133" t="s">
        <v>212</v>
      </c>
      <c r="G598" s="94"/>
      <c r="H598" s="95"/>
      <c r="I598" s="96"/>
      <c r="J598" s="119"/>
      <c r="K598" s="105"/>
      <c r="L598" s="77"/>
      <c r="M598" s="77"/>
      <c r="N598" s="77"/>
      <c r="O598" s="77"/>
      <c r="P598" s="77"/>
      <c r="Q598" s="78">
        <f t="shared" si="34"/>
        <v>0</v>
      </c>
      <c r="R598" s="57"/>
      <c r="S598" s="129"/>
      <c r="T598" s="129"/>
      <c r="U598" s="129"/>
    </row>
    <row r="599" spans="1:21" s="115" customFormat="1" ht="46.5" customHeight="1">
      <c r="A599" s="82"/>
      <c r="B599" s="110"/>
      <c r="C599" s="57"/>
      <c r="D599" s="119"/>
      <c r="E599" s="57"/>
      <c r="F599" s="112" t="s">
        <v>212</v>
      </c>
      <c r="G599" s="94" t="s">
        <v>267</v>
      </c>
      <c r="H599" s="95">
        <v>1</v>
      </c>
      <c r="I599" s="96" t="s">
        <v>293</v>
      </c>
      <c r="J599" s="119" t="s">
        <v>254</v>
      </c>
      <c r="K599" s="77">
        <v>3000000</v>
      </c>
      <c r="L599" s="77"/>
      <c r="M599" s="77"/>
      <c r="N599" s="77"/>
      <c r="O599" s="77"/>
      <c r="P599" s="77"/>
      <c r="Q599" s="78">
        <f t="shared" si="34"/>
        <v>3000000</v>
      </c>
      <c r="R599" s="57" t="s">
        <v>21</v>
      </c>
      <c r="S599" s="82" t="s">
        <v>250</v>
      </c>
      <c r="T599" s="117"/>
      <c r="U599" s="117"/>
    </row>
    <row r="600" spans="1:21" s="115" customFormat="1" ht="46.5" customHeight="1">
      <c r="A600" s="82"/>
      <c r="B600" s="110"/>
      <c r="C600" s="57"/>
      <c r="D600" s="119"/>
      <c r="E600" s="57"/>
      <c r="F600" s="112" t="s">
        <v>212</v>
      </c>
      <c r="G600" s="94" t="s">
        <v>227</v>
      </c>
      <c r="H600" s="95">
        <v>1</v>
      </c>
      <c r="I600" s="96" t="s">
        <v>293</v>
      </c>
      <c r="J600" s="119" t="s">
        <v>254</v>
      </c>
      <c r="K600" s="77">
        <v>3000000</v>
      </c>
      <c r="L600" s="77"/>
      <c r="M600" s="77"/>
      <c r="N600" s="77"/>
      <c r="O600" s="77"/>
      <c r="P600" s="77"/>
      <c r="Q600" s="78">
        <f t="shared" si="34"/>
        <v>3000000</v>
      </c>
      <c r="R600" s="57" t="s">
        <v>21</v>
      </c>
      <c r="S600" s="82" t="s">
        <v>250</v>
      </c>
      <c r="T600" s="117"/>
      <c r="U600" s="117"/>
    </row>
    <row r="601" spans="1:21" ht="46.5" customHeight="1">
      <c r="A601" s="82"/>
      <c r="B601" s="110"/>
      <c r="C601" s="57"/>
      <c r="D601" s="119"/>
      <c r="E601" s="57"/>
      <c r="F601" s="141" t="s">
        <v>215</v>
      </c>
      <c r="G601" s="94"/>
      <c r="H601" s="95"/>
      <c r="I601" s="96"/>
      <c r="J601" s="119"/>
      <c r="K601" s="105"/>
      <c r="L601" s="77"/>
      <c r="M601" s="77"/>
      <c r="N601" s="77"/>
      <c r="O601" s="77"/>
      <c r="P601" s="77"/>
      <c r="Q601" s="78">
        <f t="shared" si="34"/>
        <v>0</v>
      </c>
      <c r="R601" s="57"/>
      <c r="S601" s="129"/>
      <c r="T601" s="129"/>
      <c r="U601" s="129"/>
    </row>
    <row r="602" spans="1:21" ht="46.5" customHeight="1">
      <c r="A602" s="82"/>
      <c r="B602" s="110"/>
      <c r="C602" s="57"/>
      <c r="D602" s="119"/>
      <c r="E602" s="57"/>
      <c r="F602" s="112" t="s">
        <v>215</v>
      </c>
      <c r="G602" s="94" t="s">
        <v>227</v>
      </c>
      <c r="H602" s="95"/>
      <c r="I602" s="96"/>
      <c r="J602" s="119" t="s">
        <v>254</v>
      </c>
      <c r="K602" s="77">
        <v>3000000</v>
      </c>
      <c r="L602" s="77">
        <v>3000000</v>
      </c>
      <c r="M602" s="77">
        <v>3000000</v>
      </c>
      <c r="N602" s="77">
        <v>3000000</v>
      </c>
      <c r="O602" s="77">
        <v>3000000</v>
      </c>
      <c r="P602" s="77">
        <v>3000000</v>
      </c>
      <c r="Q602" s="78">
        <f t="shared" si="34"/>
        <v>18000000</v>
      </c>
      <c r="R602" s="57" t="s">
        <v>21</v>
      </c>
      <c r="S602" s="82" t="s">
        <v>250</v>
      </c>
      <c r="T602" s="129"/>
      <c r="U602" s="129"/>
    </row>
    <row r="603" spans="1:21" ht="46.5" customHeight="1">
      <c r="A603" s="82"/>
      <c r="B603" s="110"/>
      <c r="C603" s="57"/>
      <c r="D603" s="119"/>
      <c r="E603" s="57"/>
      <c r="F603" s="133" t="s">
        <v>216</v>
      </c>
      <c r="G603" s="94"/>
      <c r="H603" s="95"/>
      <c r="I603" s="96"/>
      <c r="J603" s="119"/>
      <c r="K603" s="77"/>
      <c r="L603" s="77"/>
      <c r="M603" s="77"/>
      <c r="N603" s="77"/>
      <c r="O603" s="77"/>
      <c r="P603" s="77"/>
      <c r="Q603" s="78">
        <f t="shared" si="34"/>
        <v>0</v>
      </c>
      <c r="R603" s="57"/>
      <c r="S603" s="129"/>
      <c r="T603" s="129"/>
      <c r="U603" s="129"/>
    </row>
    <row r="604" spans="1:21" ht="46.5" customHeight="1">
      <c r="A604" s="82"/>
      <c r="B604" s="110"/>
      <c r="C604" s="57"/>
      <c r="D604" s="119"/>
      <c r="E604" s="57"/>
      <c r="F604" s="112" t="s">
        <v>216</v>
      </c>
      <c r="G604" s="94" t="s">
        <v>227</v>
      </c>
      <c r="H604" s="95"/>
      <c r="I604" s="96"/>
      <c r="J604" s="119" t="s">
        <v>254</v>
      </c>
      <c r="K604" s="77">
        <v>3000000</v>
      </c>
      <c r="L604" s="77">
        <v>3000000</v>
      </c>
      <c r="M604" s="77">
        <v>3000000</v>
      </c>
      <c r="N604" s="77">
        <v>3000000</v>
      </c>
      <c r="O604" s="77">
        <v>3000000</v>
      </c>
      <c r="P604" s="77">
        <v>3000000</v>
      </c>
      <c r="Q604" s="78">
        <f t="shared" si="34"/>
        <v>18000000</v>
      </c>
      <c r="R604" s="57" t="s">
        <v>21</v>
      </c>
      <c r="S604" s="82" t="s">
        <v>250</v>
      </c>
      <c r="T604" s="129"/>
      <c r="U604" s="129"/>
    </row>
    <row r="605" spans="1:21" ht="46.5" customHeight="1">
      <c r="A605" s="82"/>
      <c r="B605" s="110"/>
      <c r="C605" s="57"/>
      <c r="D605" s="119"/>
      <c r="E605" s="57"/>
      <c r="F605" s="133" t="s">
        <v>860</v>
      </c>
      <c r="G605" s="94"/>
      <c r="H605" s="95"/>
      <c r="I605" s="96"/>
      <c r="J605" s="119"/>
      <c r="K605" s="77"/>
      <c r="L605" s="77"/>
      <c r="M605" s="77"/>
      <c r="N605" s="105"/>
      <c r="O605" s="77"/>
      <c r="P605" s="77"/>
      <c r="Q605" s="78">
        <f t="shared" si="34"/>
        <v>0</v>
      </c>
      <c r="R605" s="57"/>
      <c r="S605" s="129"/>
      <c r="T605" s="129"/>
      <c r="U605" s="129"/>
    </row>
    <row r="606" spans="1:21" ht="46.5" customHeight="1">
      <c r="A606" s="82"/>
      <c r="B606" s="110"/>
      <c r="C606" s="57"/>
      <c r="D606" s="119"/>
      <c r="E606" s="57"/>
      <c r="F606" s="118" t="s">
        <v>860</v>
      </c>
      <c r="G606" s="94" t="s">
        <v>275</v>
      </c>
      <c r="H606" s="95">
        <v>1</v>
      </c>
      <c r="I606" s="96" t="s">
        <v>458</v>
      </c>
      <c r="J606" s="119" t="s">
        <v>254</v>
      </c>
      <c r="K606" s="77"/>
      <c r="L606" s="77">
        <v>3000000</v>
      </c>
      <c r="M606" s="77"/>
      <c r="N606" s="77">
        <v>3000000</v>
      </c>
      <c r="O606" s="77"/>
      <c r="P606" s="77"/>
      <c r="Q606" s="78">
        <f t="shared" ref="Q606:Q646" si="37">SUM(K606:P606)</f>
        <v>6000000</v>
      </c>
      <c r="R606" s="57" t="s">
        <v>21</v>
      </c>
      <c r="S606" s="82" t="s">
        <v>250</v>
      </c>
      <c r="T606" s="129"/>
      <c r="U606" s="129"/>
    </row>
    <row r="607" spans="1:21" ht="65.25" customHeight="1">
      <c r="A607" s="82"/>
      <c r="B607" s="110"/>
      <c r="C607" s="57"/>
      <c r="D607" s="119"/>
      <c r="E607" s="57"/>
      <c r="F607" s="133" t="s">
        <v>861</v>
      </c>
      <c r="G607" s="94"/>
      <c r="H607" s="95"/>
      <c r="I607" s="96"/>
      <c r="J607" s="119"/>
      <c r="K607" s="105"/>
      <c r="L607" s="77"/>
      <c r="M607" s="77"/>
      <c r="N607" s="77"/>
      <c r="O607" s="77"/>
      <c r="P607" s="77"/>
      <c r="Q607" s="78">
        <f t="shared" si="37"/>
        <v>0</v>
      </c>
      <c r="R607" s="57"/>
      <c r="S607" s="129"/>
      <c r="T607" s="129"/>
      <c r="U607" s="129"/>
    </row>
    <row r="608" spans="1:21" ht="46.5" customHeight="1">
      <c r="A608" s="82"/>
      <c r="B608" s="110"/>
      <c r="C608" s="57"/>
      <c r="D608" s="119"/>
      <c r="E608" s="57"/>
      <c r="F608" s="93" t="s">
        <v>862</v>
      </c>
      <c r="G608" s="94" t="s">
        <v>269</v>
      </c>
      <c r="H608" s="95">
        <v>2</v>
      </c>
      <c r="I608" s="96" t="s">
        <v>55</v>
      </c>
      <c r="J608" s="119"/>
      <c r="K608" s="77">
        <v>3000000</v>
      </c>
      <c r="L608" s="105"/>
      <c r="M608" s="77"/>
      <c r="N608" s="77"/>
      <c r="O608" s="77"/>
      <c r="P608" s="77"/>
      <c r="Q608" s="78">
        <f t="shared" si="37"/>
        <v>3000000</v>
      </c>
      <c r="R608" s="57" t="s">
        <v>21</v>
      </c>
      <c r="S608" s="82" t="s">
        <v>250</v>
      </c>
      <c r="T608" s="129"/>
      <c r="U608" s="129"/>
    </row>
    <row r="609" spans="1:21" ht="46.5" customHeight="1">
      <c r="A609" s="82"/>
      <c r="B609" s="110"/>
      <c r="C609" s="57"/>
      <c r="D609" s="119"/>
      <c r="E609" s="57"/>
      <c r="F609" s="93" t="s">
        <v>862</v>
      </c>
      <c r="G609" s="94" t="s">
        <v>627</v>
      </c>
      <c r="H609" s="95">
        <v>20</v>
      </c>
      <c r="I609" s="96" t="s">
        <v>60</v>
      </c>
      <c r="J609" s="119"/>
      <c r="K609" s="77">
        <f>H609*150000</f>
        <v>3000000</v>
      </c>
      <c r="L609" s="105"/>
      <c r="M609" s="77"/>
      <c r="N609" s="77"/>
      <c r="O609" s="77"/>
      <c r="P609" s="77"/>
      <c r="Q609" s="78">
        <f t="shared" si="37"/>
        <v>3000000</v>
      </c>
      <c r="R609" s="57" t="s">
        <v>21</v>
      </c>
      <c r="S609" s="82" t="s">
        <v>250</v>
      </c>
      <c r="T609" s="129"/>
      <c r="U609" s="129"/>
    </row>
    <row r="610" spans="1:21" ht="46.5" customHeight="1">
      <c r="A610" s="82"/>
      <c r="B610" s="110"/>
      <c r="C610" s="57"/>
      <c r="D610" s="119"/>
      <c r="E610" s="57"/>
      <c r="F610" s="112" t="s">
        <v>863</v>
      </c>
      <c r="G610" s="94" t="s">
        <v>275</v>
      </c>
      <c r="H610" s="95">
        <v>1</v>
      </c>
      <c r="I610" s="96" t="s">
        <v>850</v>
      </c>
      <c r="J610" s="119"/>
      <c r="K610" s="105"/>
      <c r="L610" s="77"/>
      <c r="M610" s="77">
        <v>4500000</v>
      </c>
      <c r="N610" s="77"/>
      <c r="O610" s="77"/>
      <c r="P610" s="77"/>
      <c r="Q610" s="78">
        <f t="shared" si="37"/>
        <v>4500000</v>
      </c>
      <c r="R610" s="57" t="s">
        <v>21</v>
      </c>
      <c r="S610" s="82" t="s">
        <v>250</v>
      </c>
      <c r="T610" s="129"/>
      <c r="U610" s="129"/>
    </row>
    <row r="611" spans="1:21" ht="87.75" customHeight="1">
      <c r="A611" s="82"/>
      <c r="B611" s="110"/>
      <c r="C611" s="57"/>
      <c r="D611" s="119"/>
      <c r="E611" s="57"/>
      <c r="F611" s="134" t="s">
        <v>864</v>
      </c>
      <c r="G611" s="133"/>
      <c r="H611" s="137"/>
      <c r="I611" s="138"/>
      <c r="J611" s="133"/>
      <c r="K611" s="77"/>
      <c r="L611" s="77"/>
      <c r="M611" s="77"/>
      <c r="N611" s="77"/>
      <c r="O611" s="77"/>
      <c r="P611" s="77"/>
      <c r="Q611" s="78">
        <f t="shared" si="37"/>
        <v>0</v>
      </c>
      <c r="R611" s="57"/>
      <c r="S611" s="129"/>
      <c r="T611" s="129"/>
      <c r="U611" s="129"/>
    </row>
    <row r="612" spans="1:21" ht="46.5" customHeight="1">
      <c r="A612" s="82"/>
      <c r="B612" s="110"/>
      <c r="C612" s="57"/>
      <c r="D612" s="119"/>
      <c r="E612" s="57"/>
      <c r="F612" s="139" t="s">
        <v>865</v>
      </c>
      <c r="G612" s="118" t="s">
        <v>227</v>
      </c>
      <c r="H612" s="135">
        <v>1</v>
      </c>
      <c r="I612" s="136" t="s">
        <v>458</v>
      </c>
      <c r="J612" s="118" t="s">
        <v>298</v>
      </c>
      <c r="K612" s="77">
        <v>3000000</v>
      </c>
      <c r="L612" s="77"/>
      <c r="M612" s="77"/>
      <c r="N612" s="77"/>
      <c r="O612" s="77"/>
      <c r="P612" s="77"/>
      <c r="Q612" s="78">
        <f t="shared" si="37"/>
        <v>3000000</v>
      </c>
      <c r="R612" s="57" t="s">
        <v>21</v>
      </c>
      <c r="S612" s="82" t="s">
        <v>250</v>
      </c>
      <c r="T612" s="129"/>
      <c r="U612" s="129"/>
    </row>
    <row r="613" spans="1:21" ht="46.5" customHeight="1">
      <c r="A613" s="82"/>
      <c r="B613" s="110"/>
      <c r="C613" s="57"/>
      <c r="D613" s="119"/>
      <c r="E613" s="57"/>
      <c r="F613" s="139" t="s">
        <v>865</v>
      </c>
      <c r="G613" s="118" t="s">
        <v>275</v>
      </c>
      <c r="H613" s="135">
        <v>1</v>
      </c>
      <c r="I613" s="136" t="s">
        <v>458</v>
      </c>
      <c r="J613" s="118" t="s">
        <v>298</v>
      </c>
      <c r="K613" s="77"/>
      <c r="L613" s="77">
        <v>3000000</v>
      </c>
      <c r="M613" s="77"/>
      <c r="N613" s="77"/>
      <c r="O613" s="77"/>
      <c r="P613" s="77"/>
      <c r="Q613" s="78">
        <f t="shared" si="37"/>
        <v>3000000</v>
      </c>
      <c r="R613" s="57" t="s">
        <v>21</v>
      </c>
      <c r="S613" s="82" t="s">
        <v>250</v>
      </c>
      <c r="T613" s="129"/>
      <c r="U613" s="129"/>
    </row>
    <row r="614" spans="1:21" ht="64.5" customHeight="1">
      <c r="A614" s="82"/>
      <c r="B614" s="110"/>
      <c r="C614" s="57"/>
      <c r="D614" s="119"/>
      <c r="E614" s="57"/>
      <c r="F614" s="133" t="s">
        <v>866</v>
      </c>
      <c r="G614" s="94"/>
      <c r="H614" s="95"/>
      <c r="I614" s="96"/>
      <c r="J614" s="119"/>
      <c r="K614" s="77"/>
      <c r="L614" s="77"/>
      <c r="M614" s="77"/>
      <c r="N614" s="105"/>
      <c r="O614" s="77"/>
      <c r="P614" s="77"/>
      <c r="Q614" s="78">
        <f t="shared" si="37"/>
        <v>0</v>
      </c>
      <c r="R614" s="57"/>
      <c r="S614" s="129"/>
      <c r="T614" s="129"/>
      <c r="U614" s="129"/>
    </row>
    <row r="615" spans="1:21" ht="46.5" customHeight="1">
      <c r="A615" s="82"/>
      <c r="B615" s="110"/>
      <c r="C615" s="57"/>
      <c r="D615" s="119"/>
      <c r="E615" s="57"/>
      <c r="F615" s="94" t="s">
        <v>867</v>
      </c>
      <c r="G615" s="94" t="s">
        <v>792</v>
      </c>
      <c r="H615" s="95">
        <v>1</v>
      </c>
      <c r="I615" s="96" t="s">
        <v>850</v>
      </c>
      <c r="J615" s="119" t="s">
        <v>254</v>
      </c>
      <c r="K615" s="77">
        <f>H615*2000000</f>
        <v>2000000</v>
      </c>
      <c r="L615" s="77"/>
      <c r="M615" s="77"/>
      <c r="N615" s="77"/>
      <c r="O615" s="77"/>
      <c r="P615" s="77"/>
      <c r="Q615" s="78">
        <f t="shared" si="37"/>
        <v>2000000</v>
      </c>
      <c r="R615" s="57" t="s">
        <v>21</v>
      </c>
      <c r="S615" s="82" t="s">
        <v>250</v>
      </c>
      <c r="T615" s="129"/>
      <c r="U615" s="129"/>
    </row>
    <row r="616" spans="1:21" ht="46.5" customHeight="1">
      <c r="A616" s="82"/>
      <c r="B616" s="110"/>
      <c r="C616" s="57"/>
      <c r="D616" s="119"/>
      <c r="E616" s="57"/>
      <c r="F616" s="94" t="s">
        <v>867</v>
      </c>
      <c r="G616" s="94" t="s">
        <v>267</v>
      </c>
      <c r="H616" s="95">
        <v>1</v>
      </c>
      <c r="I616" s="96" t="s">
        <v>850</v>
      </c>
      <c r="J616" s="119" t="str">
        <f>J615</f>
        <v>Masyarakat</v>
      </c>
      <c r="K616" s="77">
        <f>H616*2000000</f>
        <v>2000000</v>
      </c>
      <c r="L616" s="77"/>
      <c r="M616" s="77"/>
      <c r="N616" s="77"/>
      <c r="O616" s="77"/>
      <c r="P616" s="77"/>
      <c r="Q616" s="78">
        <f t="shared" si="37"/>
        <v>2000000</v>
      </c>
      <c r="R616" s="57" t="s">
        <v>21</v>
      </c>
      <c r="S616" s="82" t="s">
        <v>250</v>
      </c>
      <c r="T616" s="129"/>
      <c r="U616" s="129"/>
    </row>
    <row r="617" spans="1:21" ht="85.5" customHeight="1">
      <c r="A617" s="82"/>
      <c r="B617" s="110"/>
      <c r="C617" s="57"/>
      <c r="D617" s="122" t="s">
        <v>868</v>
      </c>
      <c r="E617" s="57"/>
      <c r="F617" s="133"/>
      <c r="G617" s="119"/>
      <c r="H617" s="146"/>
      <c r="I617" s="82"/>
      <c r="J617" s="119"/>
      <c r="K617" s="77"/>
      <c r="L617" s="77"/>
      <c r="M617" s="77"/>
      <c r="N617" s="77"/>
      <c r="O617" s="77"/>
      <c r="P617" s="77"/>
      <c r="Q617" s="78">
        <f t="shared" si="37"/>
        <v>0</v>
      </c>
      <c r="R617" s="57"/>
      <c r="S617" s="129"/>
      <c r="T617" s="129"/>
      <c r="U617" s="129"/>
    </row>
    <row r="618" spans="1:21" s="115" customFormat="1" ht="46.5" customHeight="1">
      <c r="A618" s="82"/>
      <c r="B618" s="110"/>
      <c r="C618" s="57"/>
      <c r="D618" s="119"/>
      <c r="E618" s="57"/>
      <c r="F618" s="162" t="s">
        <v>869</v>
      </c>
      <c r="G618" s="94" t="s">
        <v>227</v>
      </c>
      <c r="H618" s="95">
        <v>1</v>
      </c>
      <c r="I618" s="96" t="s">
        <v>255</v>
      </c>
      <c r="J618" s="119" t="s">
        <v>870</v>
      </c>
      <c r="K618" s="77">
        <v>8000000</v>
      </c>
      <c r="L618" s="77">
        <v>8000000</v>
      </c>
      <c r="M618" s="77">
        <v>8000000</v>
      </c>
      <c r="N618" s="77">
        <v>8000000</v>
      </c>
      <c r="O618" s="77">
        <v>8000000</v>
      </c>
      <c r="P618" s="77">
        <v>8000000</v>
      </c>
      <c r="Q618" s="78">
        <f t="shared" si="37"/>
        <v>48000000</v>
      </c>
      <c r="R618" s="57" t="s">
        <v>21</v>
      </c>
      <c r="S618" s="82" t="s">
        <v>250</v>
      </c>
      <c r="T618" s="117"/>
      <c r="U618" s="117"/>
    </row>
    <row r="619" spans="1:21" s="115" customFormat="1" ht="46.5" customHeight="1">
      <c r="A619" s="82"/>
      <c r="B619" s="110"/>
      <c r="C619" s="57"/>
      <c r="D619" s="119"/>
      <c r="E619" s="57"/>
      <c r="F619" s="112" t="s">
        <v>871</v>
      </c>
      <c r="G619" s="94" t="s">
        <v>227</v>
      </c>
      <c r="H619" s="95">
        <v>1</v>
      </c>
      <c r="I619" s="96" t="s">
        <v>255</v>
      </c>
      <c r="J619" s="119" t="s">
        <v>870</v>
      </c>
      <c r="K619" s="77">
        <v>50000000</v>
      </c>
      <c r="L619" s="77">
        <v>50000000</v>
      </c>
      <c r="M619" s="77">
        <v>50000000</v>
      </c>
      <c r="N619" s="77">
        <v>50000000</v>
      </c>
      <c r="O619" s="77">
        <v>50000000</v>
      </c>
      <c r="P619" s="77">
        <v>50000000</v>
      </c>
      <c r="Q619" s="78">
        <f t="shared" si="37"/>
        <v>300000000</v>
      </c>
      <c r="R619" s="57" t="s">
        <v>21</v>
      </c>
      <c r="S619" s="82" t="s">
        <v>250</v>
      </c>
      <c r="T619" s="117"/>
      <c r="U619" s="117"/>
    </row>
    <row r="620" spans="1:21" s="115" customFormat="1" ht="46.5" customHeight="1">
      <c r="A620" s="82"/>
      <c r="B620" s="110"/>
      <c r="C620" s="57"/>
      <c r="D620" s="119"/>
      <c r="E620" s="57"/>
      <c r="F620" s="112" t="s">
        <v>872</v>
      </c>
      <c r="G620" s="94" t="s">
        <v>227</v>
      </c>
      <c r="H620" s="95">
        <v>1</v>
      </c>
      <c r="I620" s="96" t="s">
        <v>255</v>
      </c>
      <c r="J620" s="119" t="s">
        <v>870</v>
      </c>
      <c r="K620" s="105"/>
      <c r="L620" s="77"/>
      <c r="M620" s="77"/>
      <c r="N620" s="77"/>
      <c r="O620" s="77">
        <v>200000000</v>
      </c>
      <c r="P620" s="77"/>
      <c r="Q620" s="78">
        <f t="shared" si="37"/>
        <v>200000000</v>
      </c>
      <c r="R620" s="57" t="s">
        <v>21</v>
      </c>
      <c r="S620" s="82" t="s">
        <v>250</v>
      </c>
      <c r="T620" s="117"/>
      <c r="U620" s="117"/>
    </row>
    <row r="621" spans="1:21" ht="54">
      <c r="A621" s="82"/>
      <c r="B621" s="110"/>
      <c r="C621" s="56"/>
      <c r="D621" s="174" t="s">
        <v>331</v>
      </c>
      <c r="E621" s="71"/>
      <c r="F621" s="133"/>
      <c r="G621" s="119"/>
      <c r="H621" s="146"/>
      <c r="I621" s="82"/>
      <c r="J621" s="119"/>
      <c r="K621" s="77"/>
      <c r="L621" s="77"/>
      <c r="M621" s="77"/>
      <c r="N621" s="77"/>
      <c r="O621" s="77"/>
      <c r="P621" s="77"/>
      <c r="Q621" s="78">
        <f t="shared" si="37"/>
        <v>0</v>
      </c>
      <c r="R621" s="57"/>
      <c r="S621" s="129"/>
      <c r="T621" s="129"/>
      <c r="U621" s="129"/>
    </row>
    <row r="622" spans="1:21" ht="62.25" customHeight="1">
      <c r="A622" s="82"/>
      <c r="B622" s="110"/>
      <c r="C622" s="57"/>
      <c r="D622" s="119"/>
      <c r="E622" s="57">
        <v>1</v>
      </c>
      <c r="F622" s="133" t="s">
        <v>873</v>
      </c>
      <c r="G622" s="94"/>
      <c r="H622" s="95"/>
      <c r="I622" s="96"/>
      <c r="J622" s="119"/>
      <c r="K622" s="77"/>
      <c r="L622" s="77"/>
      <c r="M622" s="77"/>
      <c r="N622" s="77"/>
      <c r="O622" s="105"/>
      <c r="P622" s="77"/>
      <c r="Q622" s="78">
        <f t="shared" si="37"/>
        <v>0</v>
      </c>
      <c r="R622" s="57"/>
      <c r="S622" s="129"/>
      <c r="T622" s="129"/>
      <c r="U622" s="129"/>
    </row>
    <row r="623" spans="1:21" ht="47.25" customHeight="1">
      <c r="A623" s="82"/>
      <c r="B623" s="110"/>
      <c r="C623" s="57"/>
      <c r="D623" s="119"/>
      <c r="E623" s="57"/>
      <c r="F623" s="93" t="s">
        <v>874</v>
      </c>
      <c r="G623" s="94" t="s">
        <v>551</v>
      </c>
      <c r="H623" s="95">
        <v>2</v>
      </c>
      <c r="I623" s="96" t="s">
        <v>842</v>
      </c>
      <c r="J623" s="119" t="s">
        <v>254</v>
      </c>
      <c r="K623" s="77">
        <v>2000000</v>
      </c>
      <c r="L623" s="77"/>
      <c r="M623" s="77"/>
      <c r="N623" s="77"/>
      <c r="O623" s="105"/>
      <c r="P623" s="77"/>
      <c r="Q623" s="78">
        <f t="shared" si="37"/>
        <v>2000000</v>
      </c>
      <c r="R623" s="57" t="s">
        <v>21</v>
      </c>
      <c r="S623" s="82" t="s">
        <v>250</v>
      </c>
      <c r="T623" s="129"/>
      <c r="U623" s="129"/>
    </row>
    <row r="624" spans="1:21" ht="47.25" customHeight="1">
      <c r="A624" s="82"/>
      <c r="B624" s="110"/>
      <c r="C624" s="57"/>
      <c r="D624" s="119"/>
      <c r="E624" s="57"/>
      <c r="F624" s="93" t="s">
        <v>875</v>
      </c>
      <c r="G624" s="94" t="s">
        <v>284</v>
      </c>
      <c r="H624" s="95">
        <v>3</v>
      </c>
      <c r="I624" s="96" t="s">
        <v>857</v>
      </c>
      <c r="J624" s="119" t="s">
        <v>254</v>
      </c>
      <c r="K624" s="77">
        <f>H624*750000</f>
        <v>2250000</v>
      </c>
      <c r="L624" s="105"/>
      <c r="M624" s="77"/>
      <c r="N624" s="77"/>
      <c r="O624" s="77"/>
      <c r="P624" s="77"/>
      <c r="Q624" s="78">
        <f t="shared" si="37"/>
        <v>2250000</v>
      </c>
      <c r="R624" s="57" t="s">
        <v>21</v>
      </c>
      <c r="S624" s="82" t="s">
        <v>250</v>
      </c>
      <c r="T624" s="129"/>
      <c r="U624" s="129"/>
    </row>
    <row r="625" spans="1:21" ht="47.25" customHeight="1">
      <c r="A625" s="82"/>
      <c r="B625" s="110"/>
      <c r="C625" s="57"/>
      <c r="D625" s="119"/>
      <c r="E625" s="57"/>
      <c r="F625" s="93" t="s">
        <v>876</v>
      </c>
      <c r="G625" s="94" t="s">
        <v>269</v>
      </c>
      <c r="H625" s="95">
        <v>1</v>
      </c>
      <c r="I625" s="96" t="s">
        <v>842</v>
      </c>
      <c r="J625" s="119" t="s">
        <v>254</v>
      </c>
      <c r="K625" s="77"/>
      <c r="L625" s="77">
        <v>1000000</v>
      </c>
      <c r="M625" s="77"/>
      <c r="N625" s="77"/>
      <c r="O625" s="77"/>
      <c r="P625" s="105"/>
      <c r="Q625" s="78">
        <f t="shared" si="37"/>
        <v>1000000</v>
      </c>
      <c r="R625" s="57" t="s">
        <v>21</v>
      </c>
      <c r="S625" s="82" t="s">
        <v>250</v>
      </c>
      <c r="T625" s="129"/>
      <c r="U625" s="129"/>
    </row>
    <row r="626" spans="1:21" ht="47.25" customHeight="1">
      <c r="A626" s="82"/>
      <c r="B626" s="110"/>
      <c r="C626" s="57"/>
      <c r="D626" s="119"/>
      <c r="E626" s="57"/>
      <c r="F626" s="93" t="s">
        <v>877</v>
      </c>
      <c r="G626" s="94" t="s">
        <v>275</v>
      </c>
      <c r="H626" s="95">
        <v>1</v>
      </c>
      <c r="I626" s="96" t="str">
        <f>I625</f>
        <v>klmpok</v>
      </c>
      <c r="J626" s="119" t="s">
        <v>254</v>
      </c>
      <c r="K626" s="77">
        <v>18000000</v>
      </c>
      <c r="L626" s="77"/>
      <c r="M626" s="77"/>
      <c r="N626" s="77"/>
      <c r="O626" s="77"/>
      <c r="P626" s="105"/>
      <c r="Q626" s="78">
        <f t="shared" si="37"/>
        <v>18000000</v>
      </c>
      <c r="R626" s="57" t="s">
        <v>397</v>
      </c>
      <c r="S626" s="82" t="s">
        <v>250</v>
      </c>
      <c r="T626" s="129"/>
      <c r="U626" s="129"/>
    </row>
    <row r="627" spans="1:21" ht="47.25" customHeight="1">
      <c r="A627" s="82"/>
      <c r="B627" s="110"/>
      <c r="C627" s="57"/>
      <c r="D627" s="119"/>
      <c r="E627" s="57"/>
      <c r="F627" s="93" t="s">
        <v>878</v>
      </c>
      <c r="G627" s="94" t="s">
        <v>437</v>
      </c>
      <c r="H627" s="95">
        <v>1</v>
      </c>
      <c r="I627" s="96" t="str">
        <f>I626</f>
        <v>klmpok</v>
      </c>
      <c r="J627" s="119" t="s">
        <v>254</v>
      </c>
      <c r="K627" s="77">
        <v>18000000</v>
      </c>
      <c r="L627" s="77"/>
      <c r="M627" s="77"/>
      <c r="N627" s="77"/>
      <c r="O627" s="77"/>
      <c r="P627" s="105"/>
      <c r="Q627" s="78">
        <f t="shared" si="37"/>
        <v>18000000</v>
      </c>
      <c r="R627" s="57" t="s">
        <v>397</v>
      </c>
      <c r="S627" s="82" t="s">
        <v>250</v>
      </c>
      <c r="T627" s="129"/>
      <c r="U627" s="129"/>
    </row>
    <row r="628" spans="1:21" ht="47.25" customHeight="1">
      <c r="A628" s="82"/>
      <c r="B628" s="110"/>
      <c r="C628" s="57"/>
      <c r="D628" s="119"/>
      <c r="E628" s="57"/>
      <c r="F628" s="93" t="s">
        <v>879</v>
      </c>
      <c r="G628" s="94" t="s">
        <v>437</v>
      </c>
      <c r="H628" s="95">
        <v>1</v>
      </c>
      <c r="I628" s="96"/>
      <c r="J628" s="119" t="s">
        <v>254</v>
      </c>
      <c r="K628" s="77"/>
      <c r="L628" s="77">
        <v>3000000</v>
      </c>
      <c r="M628" s="77"/>
      <c r="N628" s="77"/>
      <c r="O628" s="77"/>
      <c r="P628" s="105"/>
      <c r="Q628" s="78">
        <f t="shared" si="37"/>
        <v>3000000</v>
      </c>
      <c r="R628" s="57" t="s">
        <v>21</v>
      </c>
      <c r="S628" s="82" t="s">
        <v>250</v>
      </c>
      <c r="T628" s="129"/>
      <c r="U628" s="129"/>
    </row>
    <row r="629" spans="1:21" ht="47.25" customHeight="1">
      <c r="A629" s="82"/>
      <c r="B629" s="110"/>
      <c r="C629" s="57"/>
      <c r="D629" s="119"/>
      <c r="E629" s="57"/>
      <c r="F629" s="93" t="s">
        <v>880</v>
      </c>
      <c r="G629" s="94" t="s">
        <v>881</v>
      </c>
      <c r="H629" s="95">
        <v>1</v>
      </c>
      <c r="I629" s="96" t="s">
        <v>842</v>
      </c>
      <c r="J629" s="119" t="s">
        <v>254</v>
      </c>
      <c r="K629" s="77"/>
      <c r="L629" s="77">
        <v>18000000</v>
      </c>
      <c r="M629" s="77"/>
      <c r="N629" s="77"/>
      <c r="O629" s="77"/>
      <c r="P629" s="105"/>
      <c r="Q629" s="78">
        <f t="shared" si="37"/>
        <v>18000000</v>
      </c>
      <c r="R629" s="57" t="s">
        <v>21</v>
      </c>
      <c r="S629" s="82" t="s">
        <v>250</v>
      </c>
      <c r="T629" s="129"/>
      <c r="U629" s="129"/>
    </row>
    <row r="630" spans="1:21" ht="47.25" customHeight="1">
      <c r="A630" s="82"/>
      <c r="B630" s="110"/>
      <c r="C630" s="57"/>
      <c r="D630" s="119"/>
      <c r="E630" s="57"/>
      <c r="F630" s="93" t="s">
        <v>882</v>
      </c>
      <c r="G630" s="94" t="s">
        <v>881</v>
      </c>
      <c r="H630" s="95">
        <v>1</v>
      </c>
      <c r="I630" s="96" t="str">
        <f t="shared" ref="I630" si="38">I629</f>
        <v>klmpok</v>
      </c>
      <c r="J630" s="119" t="s">
        <v>254</v>
      </c>
      <c r="K630" s="77">
        <v>1000000</v>
      </c>
      <c r="L630" s="77"/>
      <c r="M630" s="77"/>
      <c r="N630" s="77"/>
      <c r="O630" s="77"/>
      <c r="P630" s="105"/>
      <c r="Q630" s="78">
        <f t="shared" si="37"/>
        <v>1000000</v>
      </c>
      <c r="R630" s="57" t="s">
        <v>21</v>
      </c>
      <c r="S630" s="82" t="s">
        <v>250</v>
      </c>
      <c r="T630" s="129"/>
      <c r="U630" s="129"/>
    </row>
    <row r="631" spans="1:21" ht="47.25" customHeight="1">
      <c r="A631" s="82"/>
      <c r="B631" s="110"/>
      <c r="C631" s="57"/>
      <c r="D631" s="119"/>
      <c r="E631" s="57"/>
      <c r="F631" s="93" t="s">
        <v>879</v>
      </c>
      <c r="G631" s="94" t="s">
        <v>271</v>
      </c>
      <c r="H631" s="95"/>
      <c r="I631" s="96"/>
      <c r="J631" s="119" t="s">
        <v>254</v>
      </c>
      <c r="K631" s="77">
        <v>3000000</v>
      </c>
      <c r="L631" s="77"/>
      <c r="M631" s="77"/>
      <c r="N631" s="77"/>
      <c r="O631" s="77"/>
      <c r="P631" s="105"/>
      <c r="Q631" s="78">
        <f t="shared" si="37"/>
        <v>3000000</v>
      </c>
      <c r="R631" s="57" t="s">
        <v>21</v>
      </c>
      <c r="S631" s="82" t="s">
        <v>250</v>
      </c>
      <c r="T631" s="129"/>
      <c r="U631" s="129"/>
    </row>
    <row r="632" spans="1:21" ht="47.25" customHeight="1">
      <c r="A632" s="82"/>
      <c r="B632" s="110"/>
      <c r="C632" s="57"/>
      <c r="D632" s="119"/>
      <c r="E632" s="57"/>
      <c r="F632" s="93" t="s">
        <v>883</v>
      </c>
      <c r="G632" s="94" t="s">
        <v>829</v>
      </c>
      <c r="H632" s="95">
        <v>1</v>
      </c>
      <c r="I632" s="96" t="s">
        <v>255</v>
      </c>
      <c r="J632" s="119" t="s">
        <v>254</v>
      </c>
      <c r="K632" s="77"/>
      <c r="L632" s="77">
        <v>750000</v>
      </c>
      <c r="M632" s="77"/>
      <c r="N632" s="77"/>
      <c r="O632" s="77"/>
      <c r="P632" s="105"/>
      <c r="Q632" s="78">
        <f t="shared" si="37"/>
        <v>750000</v>
      </c>
      <c r="R632" s="57" t="s">
        <v>21</v>
      </c>
      <c r="S632" s="82" t="s">
        <v>250</v>
      </c>
      <c r="T632" s="129"/>
      <c r="U632" s="129"/>
    </row>
    <row r="633" spans="1:21" ht="47.25" customHeight="1">
      <c r="A633" s="82"/>
      <c r="B633" s="110"/>
      <c r="C633" s="57"/>
      <c r="D633" s="119"/>
      <c r="E633" s="57"/>
      <c r="F633" s="93" t="s">
        <v>884</v>
      </c>
      <c r="G633" s="94" t="s">
        <v>829</v>
      </c>
      <c r="H633" s="95"/>
      <c r="I633" s="96"/>
      <c r="J633" s="119" t="s">
        <v>254</v>
      </c>
      <c r="K633" s="77"/>
      <c r="L633" s="77"/>
      <c r="M633" s="77">
        <v>2500000</v>
      </c>
      <c r="N633" s="77"/>
      <c r="O633" s="77"/>
      <c r="P633" s="105"/>
      <c r="Q633" s="78">
        <f t="shared" si="37"/>
        <v>2500000</v>
      </c>
      <c r="R633" s="57" t="s">
        <v>397</v>
      </c>
      <c r="S633" s="82" t="s">
        <v>250</v>
      </c>
      <c r="T633" s="129"/>
      <c r="U633" s="129"/>
    </row>
    <row r="634" spans="1:21" ht="47.25" customHeight="1">
      <c r="A634" s="82"/>
      <c r="B634" s="110"/>
      <c r="C634" s="57"/>
      <c r="D634" s="119"/>
      <c r="E634" s="57"/>
      <c r="F634" s="152" t="s">
        <v>885</v>
      </c>
      <c r="G634" s="86" t="s">
        <v>656</v>
      </c>
      <c r="H634" s="95">
        <v>1</v>
      </c>
      <c r="I634" s="96" t="s">
        <v>255</v>
      </c>
      <c r="J634" s="119" t="s">
        <v>254</v>
      </c>
      <c r="K634" s="77">
        <f>3500000</f>
        <v>3500000</v>
      </c>
      <c r="L634" s="105"/>
      <c r="M634" s="77"/>
      <c r="N634" s="77"/>
      <c r="O634" s="77"/>
      <c r="P634" s="77"/>
      <c r="Q634" s="78">
        <f t="shared" si="37"/>
        <v>3500000</v>
      </c>
      <c r="R634" s="57" t="s">
        <v>397</v>
      </c>
      <c r="S634" s="82" t="s">
        <v>250</v>
      </c>
      <c r="T634" s="129"/>
      <c r="U634" s="129"/>
    </row>
    <row r="635" spans="1:21" ht="47.25" customHeight="1">
      <c r="A635" s="82"/>
      <c r="B635" s="110"/>
      <c r="C635" s="57"/>
      <c r="D635" s="119"/>
      <c r="E635" s="57">
        <v>2</v>
      </c>
      <c r="F635" s="133" t="s">
        <v>886</v>
      </c>
      <c r="G635" s="93"/>
      <c r="H635" s="95"/>
      <c r="I635" s="96"/>
      <c r="J635" s="119"/>
      <c r="K635" s="105"/>
      <c r="L635" s="77"/>
      <c r="M635" s="77"/>
      <c r="N635" s="77"/>
      <c r="O635" s="77"/>
      <c r="P635" s="77"/>
      <c r="Q635" s="78">
        <f t="shared" si="37"/>
        <v>0</v>
      </c>
      <c r="R635" s="57"/>
      <c r="S635" s="129"/>
      <c r="T635" s="129"/>
      <c r="U635" s="129"/>
    </row>
    <row r="636" spans="1:21" ht="47.25" customHeight="1">
      <c r="A636" s="82"/>
      <c r="B636" s="110"/>
      <c r="C636" s="57"/>
      <c r="D636" s="119"/>
      <c r="E636" s="57"/>
      <c r="F636" s="93" t="s">
        <v>887</v>
      </c>
      <c r="G636" s="93" t="s">
        <v>227</v>
      </c>
      <c r="H636" s="95">
        <v>1</v>
      </c>
      <c r="I636" s="96" t="s">
        <v>385</v>
      </c>
      <c r="J636" s="119" t="s">
        <v>631</v>
      </c>
      <c r="K636" s="77">
        <f>250000000</f>
        <v>250000000</v>
      </c>
      <c r="L636" s="77"/>
      <c r="M636" s="77"/>
      <c r="N636" s="77"/>
      <c r="O636" s="77"/>
      <c r="P636" s="77"/>
      <c r="Q636" s="78">
        <f t="shared" si="37"/>
        <v>250000000</v>
      </c>
      <c r="R636" s="57" t="s">
        <v>888</v>
      </c>
      <c r="S636" s="82" t="s">
        <v>250</v>
      </c>
      <c r="T636" s="129"/>
      <c r="U636" s="129"/>
    </row>
    <row r="637" spans="1:21" ht="64.5" customHeight="1">
      <c r="A637" s="82"/>
      <c r="B637" s="110"/>
      <c r="C637" s="57"/>
      <c r="D637" s="119"/>
      <c r="E637" s="57">
        <v>3</v>
      </c>
      <c r="F637" s="133" t="s">
        <v>218</v>
      </c>
      <c r="G637" s="93"/>
      <c r="H637" s="95"/>
      <c r="I637" s="96"/>
      <c r="J637" s="119"/>
      <c r="K637" s="105"/>
      <c r="L637" s="77"/>
      <c r="M637" s="77"/>
      <c r="N637" s="77"/>
      <c r="O637" s="77"/>
      <c r="P637" s="77"/>
      <c r="Q637" s="78">
        <f t="shared" si="37"/>
        <v>0</v>
      </c>
      <c r="R637" s="57"/>
      <c r="S637" s="129"/>
      <c r="T637" s="129"/>
      <c r="U637" s="129"/>
    </row>
    <row r="638" spans="1:21" ht="47.25" customHeight="1">
      <c r="A638" s="82"/>
      <c r="B638" s="110"/>
      <c r="C638" s="57"/>
      <c r="D638" s="119"/>
      <c r="E638" s="57"/>
      <c r="F638" s="93" t="s">
        <v>218</v>
      </c>
      <c r="G638" s="93" t="s">
        <v>656</v>
      </c>
      <c r="H638" s="95">
        <v>50</v>
      </c>
      <c r="I638" s="96" t="s">
        <v>55</v>
      </c>
      <c r="J638" s="119" t="s">
        <v>254</v>
      </c>
      <c r="K638" s="77">
        <f>H638*100000</f>
        <v>5000000</v>
      </c>
      <c r="L638" s="77"/>
      <c r="M638" s="77"/>
      <c r="N638" s="77"/>
      <c r="O638" s="77"/>
      <c r="P638" s="77"/>
      <c r="Q638" s="78">
        <f t="shared" si="37"/>
        <v>5000000</v>
      </c>
      <c r="R638" s="57" t="s">
        <v>21</v>
      </c>
      <c r="S638" s="82" t="s">
        <v>250</v>
      </c>
      <c r="T638" s="82"/>
      <c r="U638" s="129"/>
    </row>
    <row r="639" spans="1:21" s="115" customFormat="1" ht="45.75" customHeight="1">
      <c r="A639" s="82"/>
      <c r="B639" s="110"/>
      <c r="C639" s="56"/>
      <c r="D639" s="72"/>
      <c r="E639" s="71">
        <v>4</v>
      </c>
      <c r="F639" s="133" t="s">
        <v>889</v>
      </c>
      <c r="G639" s="119"/>
      <c r="H639" s="146"/>
      <c r="I639" s="82"/>
      <c r="J639" s="119"/>
      <c r="K639" s="77"/>
      <c r="L639" s="77"/>
      <c r="M639" s="77"/>
      <c r="N639" s="77"/>
      <c r="O639" s="77"/>
      <c r="P639" s="77"/>
      <c r="Q639" s="78">
        <f t="shared" si="37"/>
        <v>0</v>
      </c>
      <c r="R639" s="57"/>
      <c r="S639" s="117"/>
      <c r="T639" s="117"/>
      <c r="U639" s="117"/>
    </row>
    <row r="640" spans="1:21" s="115" customFormat="1" ht="45.75" customHeight="1">
      <c r="A640" s="82"/>
      <c r="B640" s="110"/>
      <c r="C640" s="56"/>
      <c r="D640" s="72"/>
      <c r="E640" s="71"/>
      <c r="F640" s="93" t="s">
        <v>889</v>
      </c>
      <c r="G640" s="119" t="s">
        <v>275</v>
      </c>
      <c r="H640" s="146"/>
      <c r="I640" s="82"/>
      <c r="J640" s="119" t="s">
        <v>254</v>
      </c>
      <c r="K640" s="77"/>
      <c r="L640" s="77">
        <v>3000000</v>
      </c>
      <c r="M640" s="77"/>
      <c r="N640" s="77"/>
      <c r="O640" s="77"/>
      <c r="P640" s="77"/>
      <c r="Q640" s="78">
        <f t="shared" si="37"/>
        <v>3000000</v>
      </c>
      <c r="R640" s="57" t="s">
        <v>21</v>
      </c>
      <c r="S640" s="82" t="s">
        <v>250</v>
      </c>
      <c r="T640" s="117"/>
      <c r="U640" s="117"/>
    </row>
    <row r="641" spans="1:21" s="115" customFormat="1" ht="49.5" customHeight="1">
      <c r="A641" s="82"/>
      <c r="B641" s="110"/>
      <c r="C641" s="57"/>
      <c r="D641" s="112"/>
      <c r="E641" s="71"/>
      <c r="F641" s="133" t="s">
        <v>890</v>
      </c>
      <c r="G641" s="94"/>
      <c r="H641" s="95"/>
      <c r="I641" s="96"/>
      <c r="J641" s="119"/>
      <c r="K641" s="77"/>
      <c r="L641" s="77"/>
      <c r="M641" s="77"/>
      <c r="N641" s="77"/>
      <c r="O641" s="77"/>
      <c r="P641" s="77"/>
      <c r="Q641" s="78">
        <f t="shared" si="37"/>
        <v>0</v>
      </c>
      <c r="R641" s="57"/>
      <c r="S641" s="117"/>
      <c r="T641" s="117"/>
      <c r="U641" s="117"/>
    </row>
    <row r="642" spans="1:21" s="115" customFormat="1" ht="49.5" customHeight="1">
      <c r="A642" s="82"/>
      <c r="B642" s="110"/>
      <c r="C642" s="57"/>
      <c r="D642" s="112"/>
      <c r="E642" s="71"/>
      <c r="F642" s="112" t="s">
        <v>891</v>
      </c>
      <c r="G642" s="94" t="s">
        <v>269</v>
      </c>
      <c r="H642" s="95">
        <v>4</v>
      </c>
      <c r="I642" s="96" t="s">
        <v>276</v>
      </c>
      <c r="J642" s="119" t="s">
        <v>254</v>
      </c>
      <c r="K642" s="77">
        <f>300000*H642</f>
        <v>1200000</v>
      </c>
      <c r="L642" s="77"/>
      <c r="M642" s="77"/>
      <c r="N642" s="77"/>
      <c r="O642" s="77"/>
      <c r="P642" s="77"/>
      <c r="Q642" s="78">
        <f t="shared" si="37"/>
        <v>1200000</v>
      </c>
      <c r="R642" s="57" t="s">
        <v>397</v>
      </c>
      <c r="S642" s="82" t="s">
        <v>250</v>
      </c>
      <c r="T642" s="117"/>
      <c r="U642" s="117"/>
    </row>
    <row r="643" spans="1:21" s="115" customFormat="1" ht="49.5" customHeight="1">
      <c r="A643" s="82"/>
      <c r="B643" s="110"/>
      <c r="C643" s="57"/>
      <c r="D643" s="112"/>
      <c r="E643" s="71"/>
      <c r="F643" s="112" t="str">
        <f>F642</f>
        <v>Pengadaan Terpal untuk pembuatan kolam ikan</v>
      </c>
      <c r="G643" s="94" t="s">
        <v>272</v>
      </c>
      <c r="H643" s="95">
        <v>2</v>
      </c>
      <c r="I643" s="96" t="s">
        <v>276</v>
      </c>
      <c r="J643" s="119" t="str">
        <f>J642</f>
        <v>Masyarakat</v>
      </c>
      <c r="K643" s="77"/>
      <c r="L643" s="77">
        <f>H643*300000</f>
        <v>600000</v>
      </c>
      <c r="M643" s="77"/>
      <c r="N643" s="77"/>
      <c r="O643" s="77"/>
      <c r="P643" s="77"/>
      <c r="Q643" s="78">
        <f t="shared" si="37"/>
        <v>600000</v>
      </c>
      <c r="R643" s="57" t="s">
        <v>397</v>
      </c>
      <c r="S643" s="82" t="s">
        <v>250</v>
      </c>
      <c r="T643" s="117"/>
      <c r="U643" s="117"/>
    </row>
    <row r="644" spans="1:21" s="115" customFormat="1" ht="49.5" customHeight="1">
      <c r="A644" s="82"/>
      <c r="B644" s="110"/>
      <c r="C644" s="57"/>
      <c r="D644" s="112"/>
      <c r="E644" s="71"/>
      <c r="F644" s="141" t="s">
        <v>199</v>
      </c>
      <c r="G644" s="94"/>
      <c r="H644" s="95"/>
      <c r="I644" s="96"/>
      <c r="J644" s="119"/>
      <c r="K644" s="77"/>
      <c r="L644" s="77"/>
      <c r="M644" s="77"/>
      <c r="N644" s="77"/>
      <c r="O644" s="77"/>
      <c r="P644" s="77"/>
      <c r="Q644" s="78">
        <f t="shared" si="37"/>
        <v>0</v>
      </c>
      <c r="R644" s="57"/>
      <c r="S644" s="117"/>
      <c r="T644" s="117"/>
      <c r="U644" s="117"/>
    </row>
    <row r="645" spans="1:21" s="115" customFormat="1" ht="49.5" customHeight="1">
      <c r="A645" s="82"/>
      <c r="B645" s="110"/>
      <c r="C645" s="57"/>
      <c r="D645" s="112"/>
      <c r="E645" s="71"/>
      <c r="F645" s="112" t="s">
        <v>892</v>
      </c>
      <c r="G645" s="94" t="s">
        <v>567</v>
      </c>
      <c r="H645" s="95">
        <v>5000</v>
      </c>
      <c r="I645" s="96" t="s">
        <v>893</v>
      </c>
      <c r="J645" s="119" t="s">
        <v>254</v>
      </c>
      <c r="K645" s="77">
        <f>H645*1200</f>
        <v>6000000</v>
      </c>
      <c r="L645" s="77">
        <f>K645</f>
        <v>6000000</v>
      </c>
      <c r="M645" s="77">
        <f t="shared" ref="M645:P646" si="39">L645</f>
        <v>6000000</v>
      </c>
      <c r="N645" s="77">
        <f t="shared" si="39"/>
        <v>6000000</v>
      </c>
      <c r="O645" s="77">
        <f t="shared" si="39"/>
        <v>6000000</v>
      </c>
      <c r="P645" s="77">
        <f t="shared" si="39"/>
        <v>6000000</v>
      </c>
      <c r="Q645" s="78">
        <f t="shared" si="37"/>
        <v>36000000</v>
      </c>
      <c r="R645" s="57" t="s">
        <v>397</v>
      </c>
      <c r="S645" s="82" t="s">
        <v>250</v>
      </c>
      <c r="T645" s="117"/>
      <c r="U645" s="117"/>
    </row>
    <row r="646" spans="1:21" s="115" customFormat="1" ht="49.5" customHeight="1">
      <c r="A646" s="82"/>
      <c r="B646" s="110"/>
      <c r="C646" s="57"/>
      <c r="D646" s="112"/>
      <c r="E646" s="71"/>
      <c r="F646" s="112" t="s">
        <v>894</v>
      </c>
      <c r="G646" s="94" t="s">
        <v>567</v>
      </c>
      <c r="H646" s="95">
        <v>5000</v>
      </c>
      <c r="I646" s="96" t="s">
        <v>893</v>
      </c>
      <c r="J646" s="119" t="s">
        <v>254</v>
      </c>
      <c r="K646" s="77">
        <f>H646*1200</f>
        <v>6000000</v>
      </c>
      <c r="L646" s="77">
        <f>K646</f>
        <v>6000000</v>
      </c>
      <c r="M646" s="77">
        <f t="shared" si="39"/>
        <v>6000000</v>
      </c>
      <c r="N646" s="77">
        <f t="shared" si="39"/>
        <v>6000000</v>
      </c>
      <c r="O646" s="77">
        <f t="shared" si="39"/>
        <v>6000000</v>
      </c>
      <c r="P646" s="77">
        <f t="shared" si="39"/>
        <v>6000000</v>
      </c>
      <c r="Q646" s="78">
        <f t="shared" si="37"/>
        <v>36000000</v>
      </c>
      <c r="R646" s="57" t="s">
        <v>397</v>
      </c>
      <c r="S646" s="82" t="s">
        <v>250</v>
      </c>
      <c r="T646" s="117"/>
      <c r="U646" s="117"/>
    </row>
    <row r="647" spans="1:21" s="127" customFormat="1" ht="48" customHeight="1">
      <c r="A647" s="692" t="s">
        <v>895</v>
      </c>
      <c r="B647" s="693"/>
      <c r="C647" s="693"/>
      <c r="D647" s="694"/>
      <c r="E647" s="164"/>
      <c r="F647" s="165"/>
      <c r="G647" s="166"/>
      <c r="H647" s="167"/>
      <c r="I647" s="165"/>
      <c r="J647" s="168"/>
      <c r="K647" s="123"/>
      <c r="L647" s="123"/>
      <c r="M647" s="123"/>
      <c r="N647" s="123"/>
      <c r="O647" s="123"/>
      <c r="P647" s="123"/>
      <c r="Q647" s="123"/>
      <c r="R647" s="124"/>
      <c r="S647" s="125"/>
      <c r="T647" s="125"/>
      <c r="U647" s="125"/>
    </row>
    <row r="648" spans="1:21" ht="57" customHeight="1">
      <c r="A648" s="179">
        <v>5</v>
      </c>
      <c r="B648" s="100" t="s">
        <v>896</v>
      </c>
      <c r="C648" s="56" t="s">
        <v>359</v>
      </c>
      <c r="D648" s="180" t="s">
        <v>897</v>
      </c>
      <c r="E648" s="84"/>
      <c r="F648" s="85"/>
      <c r="G648" s="94"/>
      <c r="I648" s="96"/>
      <c r="J648" s="119"/>
      <c r="K648" s="77"/>
      <c r="L648" s="77"/>
      <c r="M648" s="77"/>
      <c r="N648" s="77"/>
      <c r="O648" s="77"/>
      <c r="P648" s="77"/>
      <c r="Q648" s="78"/>
      <c r="R648" s="57"/>
      <c r="S648" s="129"/>
      <c r="T648" s="129"/>
      <c r="U648" s="129"/>
    </row>
    <row r="649" spans="1:21" s="115" customFormat="1" ht="45.75" customHeight="1">
      <c r="A649" s="117"/>
      <c r="B649" s="110"/>
      <c r="C649" s="56"/>
      <c r="D649" s="181"/>
      <c r="E649" s="84">
        <v>1</v>
      </c>
      <c r="F649" s="85" t="s">
        <v>897</v>
      </c>
      <c r="G649" s="94" t="s">
        <v>389</v>
      </c>
      <c r="H649" s="87">
        <v>1</v>
      </c>
      <c r="I649" s="96" t="s">
        <v>255</v>
      </c>
      <c r="J649" s="119"/>
      <c r="K649" s="77">
        <v>20000000</v>
      </c>
      <c r="L649" s="77">
        <v>20000000</v>
      </c>
      <c r="M649" s="77">
        <v>20000000</v>
      </c>
      <c r="N649" s="77">
        <v>20000000</v>
      </c>
      <c r="O649" s="77">
        <v>20000000</v>
      </c>
      <c r="P649" s="77">
        <v>20000000</v>
      </c>
      <c r="Q649" s="78">
        <f>SUM(K649:P649)</f>
        <v>120000000</v>
      </c>
      <c r="R649" s="57" t="s">
        <v>21</v>
      </c>
      <c r="S649" s="82" t="s">
        <v>250</v>
      </c>
      <c r="T649" s="117"/>
      <c r="U649" s="117"/>
    </row>
    <row r="650" spans="1:21" s="115" customFormat="1" ht="45.75" customHeight="1">
      <c r="A650" s="117"/>
      <c r="B650" s="110"/>
      <c r="C650" s="56" t="s">
        <v>898</v>
      </c>
      <c r="D650" s="181" t="s">
        <v>899</v>
      </c>
      <c r="E650" s="84"/>
      <c r="F650" s="116"/>
      <c r="G650" s="94"/>
      <c r="H650" s="87"/>
      <c r="I650" s="96"/>
      <c r="J650" s="119"/>
      <c r="K650" s="77"/>
      <c r="L650" s="77"/>
      <c r="M650" s="77"/>
      <c r="N650" s="77"/>
      <c r="O650" s="77"/>
      <c r="P650" s="77"/>
      <c r="Q650" s="78"/>
      <c r="R650" s="57"/>
      <c r="S650" s="117"/>
      <c r="T650" s="117"/>
      <c r="U650" s="117"/>
    </row>
    <row r="651" spans="1:21" s="115" customFormat="1" ht="45.75" customHeight="1">
      <c r="A651" s="117"/>
      <c r="B651" s="110"/>
      <c r="C651" s="56"/>
      <c r="D651" s="181"/>
      <c r="E651" s="84">
        <v>1</v>
      </c>
      <c r="F651" s="116" t="s">
        <v>899</v>
      </c>
      <c r="G651" s="94" t="s">
        <v>389</v>
      </c>
      <c r="H651" s="87">
        <v>1</v>
      </c>
      <c r="I651" s="96" t="s">
        <v>255</v>
      </c>
      <c r="J651" s="119"/>
      <c r="K651" s="77">
        <v>10000000</v>
      </c>
      <c r="L651" s="77">
        <v>10000000</v>
      </c>
      <c r="M651" s="77">
        <v>10000000</v>
      </c>
      <c r="N651" s="77">
        <v>10000000</v>
      </c>
      <c r="O651" s="77">
        <v>10000000</v>
      </c>
      <c r="P651" s="77">
        <v>10000000</v>
      </c>
      <c r="Q651" s="78">
        <f>SUM(K651:P651)</f>
        <v>60000000</v>
      </c>
      <c r="R651" s="57" t="s">
        <v>21</v>
      </c>
      <c r="S651" s="82" t="s">
        <v>250</v>
      </c>
      <c r="T651" s="117"/>
      <c r="U651" s="117"/>
    </row>
    <row r="652" spans="1:21" s="115" customFormat="1" ht="45.75" customHeight="1">
      <c r="A652" s="117"/>
      <c r="B652" s="110"/>
      <c r="C652" s="56" t="s">
        <v>356</v>
      </c>
      <c r="D652" s="181" t="s">
        <v>900</v>
      </c>
      <c r="E652" s="84"/>
      <c r="F652" s="116"/>
      <c r="G652" s="73"/>
      <c r="H652" s="74"/>
      <c r="I652" s="82"/>
      <c r="J652" s="119"/>
      <c r="K652" s="77"/>
      <c r="L652" s="77"/>
      <c r="M652" s="77"/>
      <c r="N652" s="77"/>
      <c r="O652" s="77"/>
      <c r="P652" s="77"/>
      <c r="Q652" s="78"/>
      <c r="R652" s="57"/>
      <c r="S652" s="117"/>
      <c r="T652" s="117"/>
      <c r="U652" s="117"/>
    </row>
    <row r="653" spans="1:21" s="115" customFormat="1" ht="45.75" customHeight="1">
      <c r="A653" s="117"/>
      <c r="B653" s="110"/>
      <c r="C653" s="56"/>
      <c r="D653" s="116"/>
      <c r="E653" s="84">
        <v>1</v>
      </c>
      <c r="F653" s="116" t="s">
        <v>900</v>
      </c>
      <c r="G653" s="94" t="s">
        <v>389</v>
      </c>
      <c r="H653" s="87">
        <v>1</v>
      </c>
      <c r="I653" s="96" t="s">
        <v>255</v>
      </c>
      <c r="J653" s="119"/>
      <c r="K653" s="77">
        <v>40000000</v>
      </c>
      <c r="L653" s="77">
        <v>40000000</v>
      </c>
      <c r="M653" s="77">
        <v>40000000</v>
      </c>
      <c r="N653" s="77">
        <v>40000000</v>
      </c>
      <c r="O653" s="77">
        <v>40000000</v>
      </c>
      <c r="P653" s="77">
        <v>40000000</v>
      </c>
      <c r="Q653" s="78">
        <f>SUM(K653:P653)</f>
        <v>240000000</v>
      </c>
      <c r="R653" s="57" t="s">
        <v>21</v>
      </c>
      <c r="S653" s="82" t="s">
        <v>250</v>
      </c>
      <c r="T653" s="117"/>
      <c r="U653" s="117"/>
    </row>
    <row r="654" spans="1:21" s="127" customFormat="1" ht="49.5" customHeight="1">
      <c r="A654" s="695" t="s">
        <v>901</v>
      </c>
      <c r="B654" s="696"/>
      <c r="C654" s="697"/>
      <c r="D654" s="165"/>
      <c r="E654" s="164"/>
      <c r="F654" s="165"/>
      <c r="G654" s="166"/>
      <c r="H654" s="167"/>
      <c r="I654" s="165"/>
      <c r="J654" s="168"/>
      <c r="K654" s="123"/>
      <c r="L654" s="123"/>
      <c r="M654" s="123"/>
      <c r="N654" s="123"/>
      <c r="O654" s="123"/>
      <c r="P654" s="123"/>
      <c r="Q654" s="123"/>
      <c r="R654" s="124"/>
      <c r="S654" s="125"/>
      <c r="T654" s="125"/>
      <c r="U654" s="125"/>
    </row>
    <row r="655" spans="1:21" s="190" customFormat="1" ht="33.75" customHeight="1">
      <c r="A655" s="698" t="s">
        <v>902</v>
      </c>
      <c r="B655" s="699"/>
      <c r="C655" s="700"/>
      <c r="D655" s="182"/>
      <c r="E655" s="183"/>
      <c r="F655" s="182"/>
      <c r="G655" s="184"/>
      <c r="H655" s="185"/>
      <c r="I655" s="182"/>
      <c r="J655" s="186"/>
      <c r="K655" s="187">
        <f>SUM(K14:K653)</f>
        <v>11802994643.84</v>
      </c>
      <c r="L655" s="187">
        <f t="shared" ref="L655:Q655" si="40">SUM(L14:L653)</f>
        <v>12444252643.84</v>
      </c>
      <c r="M655" s="187">
        <f t="shared" si="40"/>
        <v>14981465443.84</v>
      </c>
      <c r="N655" s="187">
        <f t="shared" si="40"/>
        <v>9907001643.8400002</v>
      </c>
      <c r="O655" s="187">
        <f t="shared" si="40"/>
        <v>6696946643.8400002</v>
      </c>
      <c r="P655" s="187">
        <f t="shared" si="40"/>
        <v>6658439643.8400002</v>
      </c>
      <c r="Q655" s="187">
        <f t="shared" si="40"/>
        <v>62456100663.040001</v>
      </c>
      <c r="R655" s="188"/>
      <c r="S655" s="189"/>
      <c r="T655" s="189"/>
      <c r="U655" s="189"/>
    </row>
    <row r="656" spans="1:21" s="32" customFormat="1">
      <c r="A656" s="46"/>
      <c r="B656" s="47"/>
      <c r="C656" s="48"/>
      <c r="D656" s="47"/>
      <c r="E656" s="48"/>
      <c r="F656" s="49"/>
      <c r="G656" s="50"/>
      <c r="H656" s="51"/>
      <c r="I656" s="48"/>
      <c r="J656" s="52"/>
      <c r="K656" s="53"/>
      <c r="L656" s="701"/>
      <c r="M656" s="701"/>
      <c r="N656" s="701"/>
      <c r="O656" s="701"/>
      <c r="P656" s="701"/>
      <c r="Q656" s="701"/>
      <c r="R656" s="701"/>
      <c r="S656" s="701"/>
      <c r="T656" s="701"/>
      <c r="U656" s="701"/>
    </row>
    <row r="657" spans="1:21" s="32" customFormat="1">
      <c r="A657" s="46"/>
      <c r="B657" s="47"/>
      <c r="C657" s="48"/>
      <c r="D657" s="48" t="s">
        <v>903</v>
      </c>
      <c r="E657" s="48"/>
      <c r="F657" s="49"/>
      <c r="G657" s="702"/>
      <c r="H657" s="702"/>
      <c r="I657" s="702"/>
      <c r="J657" s="52"/>
      <c r="K657" s="53"/>
      <c r="L657" s="703"/>
      <c r="M657" s="703"/>
      <c r="N657" s="703"/>
      <c r="O657" s="703"/>
      <c r="P657" s="703"/>
      <c r="Q657" s="703"/>
      <c r="R657" s="703"/>
      <c r="S657" s="703"/>
      <c r="T657" s="703"/>
      <c r="U657" s="703"/>
    </row>
    <row r="658" spans="1:21" s="32" customFormat="1">
      <c r="A658" s="46"/>
      <c r="B658" s="47"/>
      <c r="C658" s="48"/>
      <c r="D658" s="46" t="s">
        <v>904</v>
      </c>
      <c r="E658" s="48"/>
      <c r="F658" s="49"/>
      <c r="G658" s="50"/>
      <c r="H658" s="51"/>
      <c r="I658" s="48"/>
      <c r="J658" s="52"/>
      <c r="K658" s="53"/>
      <c r="L658" s="191"/>
      <c r="M658" s="53"/>
      <c r="N658" s="53"/>
      <c r="O658" s="53"/>
      <c r="P658" s="53"/>
      <c r="Q658" s="192" t="s">
        <v>905</v>
      </c>
      <c r="R658" s="54"/>
      <c r="S658" s="49"/>
      <c r="T658" s="47"/>
      <c r="U658" s="47"/>
    </row>
    <row r="659" spans="1:21" s="32" customFormat="1">
      <c r="A659" s="46"/>
      <c r="B659" s="47"/>
      <c r="C659" s="48"/>
      <c r="D659" s="46"/>
      <c r="E659" s="48"/>
      <c r="F659" s="49"/>
      <c r="G659" s="50"/>
      <c r="H659" s="51"/>
      <c r="I659" s="48"/>
      <c r="J659" s="52"/>
      <c r="K659" s="53"/>
      <c r="L659" s="53"/>
      <c r="M659" s="53"/>
      <c r="N659" s="53"/>
      <c r="O659" s="53"/>
      <c r="P659" s="53"/>
      <c r="Q659" s="192" t="s">
        <v>906</v>
      </c>
      <c r="R659" s="54"/>
      <c r="S659" s="47"/>
      <c r="T659" s="47"/>
      <c r="U659" s="47"/>
    </row>
    <row r="660" spans="1:21" s="32" customFormat="1">
      <c r="A660" s="46"/>
      <c r="B660" s="47"/>
      <c r="C660" s="48"/>
      <c r="D660" s="46"/>
      <c r="E660" s="48"/>
      <c r="F660" s="49"/>
      <c r="G660" s="50"/>
      <c r="H660" s="51"/>
      <c r="I660" s="48"/>
      <c r="J660" s="52"/>
      <c r="K660" s="53"/>
      <c r="L660" s="53"/>
      <c r="M660" s="53"/>
      <c r="N660" s="53"/>
      <c r="O660" s="53"/>
      <c r="P660" s="53"/>
      <c r="Q660" s="192" t="s">
        <v>907</v>
      </c>
      <c r="R660" s="54"/>
      <c r="S660" s="47"/>
      <c r="T660" s="47"/>
      <c r="U660" s="47"/>
    </row>
    <row r="661" spans="1:21" s="32" customFormat="1">
      <c r="A661" s="46"/>
      <c r="B661" s="47"/>
      <c r="C661" s="48"/>
      <c r="D661" s="47"/>
      <c r="E661" s="48"/>
      <c r="F661" s="49"/>
      <c r="G661" s="50"/>
      <c r="H661" s="51"/>
      <c r="I661" s="48"/>
      <c r="J661" s="52"/>
      <c r="K661" s="53"/>
      <c r="L661" s="53"/>
      <c r="M661" s="53"/>
      <c r="N661" s="53"/>
      <c r="O661" s="53"/>
      <c r="P661" s="53"/>
      <c r="Q661" s="192"/>
      <c r="R661" s="54"/>
      <c r="S661" s="47"/>
      <c r="T661" s="47"/>
      <c r="U661" s="47"/>
    </row>
    <row r="662" spans="1:21" s="32" customFormat="1">
      <c r="A662" s="46"/>
      <c r="B662" s="47"/>
      <c r="C662" s="48"/>
      <c r="D662" s="47"/>
      <c r="E662" s="48"/>
      <c r="F662" s="49"/>
      <c r="G662" s="50"/>
      <c r="H662" s="51"/>
      <c r="I662" s="48"/>
      <c r="J662" s="52"/>
      <c r="K662" s="53"/>
      <c r="L662" s="53"/>
      <c r="M662" s="53"/>
      <c r="N662" s="53"/>
      <c r="O662" s="53"/>
      <c r="P662" s="53"/>
      <c r="Q662" s="192"/>
      <c r="R662" s="54"/>
      <c r="S662" s="46"/>
      <c r="T662" s="46"/>
      <c r="U662" s="46"/>
    </row>
    <row r="663" spans="1:21" s="32" customFormat="1">
      <c r="A663" s="46"/>
      <c r="B663" s="47"/>
      <c r="C663" s="48"/>
      <c r="D663" s="47"/>
      <c r="E663" s="48"/>
      <c r="F663" s="49"/>
      <c r="G663" s="50"/>
      <c r="H663" s="51"/>
      <c r="I663" s="48"/>
      <c r="J663" s="52"/>
      <c r="K663" s="53"/>
      <c r="L663" s="53"/>
      <c r="M663" s="53"/>
      <c r="N663" s="53"/>
      <c r="O663" s="53"/>
      <c r="P663" s="53"/>
      <c r="Q663" s="192"/>
      <c r="R663" s="54"/>
      <c r="S663" s="47"/>
      <c r="T663" s="47"/>
      <c r="U663" s="47"/>
    </row>
    <row r="664" spans="1:21" s="199" customFormat="1">
      <c r="A664" s="46"/>
      <c r="B664" s="193"/>
      <c r="C664" s="194"/>
      <c r="D664" s="195" t="s">
        <v>297</v>
      </c>
      <c r="E664" s="48"/>
      <c r="F664" s="196"/>
      <c r="G664" s="690"/>
      <c r="H664" s="690"/>
      <c r="I664" s="690"/>
      <c r="J664" s="197"/>
      <c r="K664" s="198"/>
      <c r="L664" s="198"/>
      <c r="M664" s="198"/>
      <c r="N664" s="198"/>
      <c r="O664" s="198"/>
      <c r="P664" s="198"/>
      <c r="Q664" s="691" t="s">
        <v>35</v>
      </c>
      <c r="R664" s="691"/>
      <c r="S664" s="691"/>
      <c r="T664" s="195"/>
      <c r="U664" s="195"/>
    </row>
    <row r="665" spans="1:21">
      <c r="A665" s="200"/>
      <c r="B665" s="201"/>
      <c r="C665" s="201"/>
      <c r="D665" s="201"/>
      <c r="E665" s="202"/>
      <c r="F665" s="203"/>
      <c r="G665" s="204"/>
      <c r="H665" s="205"/>
      <c r="I665" s="202"/>
      <c r="J665" s="206"/>
      <c r="K665" s="207"/>
      <c r="L665" s="207"/>
      <c r="M665" s="207"/>
      <c r="N665" s="207"/>
      <c r="O665" s="207"/>
      <c r="P665" s="207"/>
      <c r="Q665" s="208"/>
      <c r="R665" s="209"/>
      <c r="S665" s="210"/>
      <c r="T665" s="201"/>
      <c r="U665" s="201"/>
    </row>
  </sheetData>
  <mergeCells count="26">
    <mergeCell ref="G664:I664"/>
    <mergeCell ref="Q664:S664"/>
    <mergeCell ref="A647:D647"/>
    <mergeCell ref="A654:C654"/>
    <mergeCell ref="A655:C655"/>
    <mergeCell ref="L656:U656"/>
    <mergeCell ref="G657:I657"/>
    <mergeCell ref="L657:U657"/>
    <mergeCell ref="K9:P10"/>
    <mergeCell ref="Q9:R10"/>
    <mergeCell ref="S9:U10"/>
    <mergeCell ref="A72:J72"/>
    <mergeCell ref="A409:D409"/>
    <mergeCell ref="H9:I11"/>
    <mergeCell ref="J9:J11"/>
    <mergeCell ref="A551:D551"/>
    <mergeCell ref="A7:B7"/>
    <mergeCell ref="A9:A11"/>
    <mergeCell ref="B9:F10"/>
    <mergeCell ref="G9:G11"/>
    <mergeCell ref="A6:B6"/>
    <mergeCell ref="A1:U1"/>
    <mergeCell ref="A2:U2"/>
    <mergeCell ref="A3:U3"/>
    <mergeCell ref="A4:B4"/>
    <mergeCell ref="A5:B5"/>
  </mergeCells>
  <pageMargins left="0.27559055118110237" right="0" top="0.94488188976377963" bottom="0.15748031496062992" header="0.31496062992125984" footer="0.31496062992125984"/>
  <pageSetup paperSize="14" scale="30" orientation="landscape" r:id="rId1"/>
  <rowBreaks count="1" manualBreakCount="1">
    <brk id="282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view="pageBreakPreview" topLeftCell="A61" zoomScale="60" zoomScaleNormal="100" workbookViewId="0">
      <selection activeCell="B75" sqref="B75"/>
    </sheetView>
  </sheetViews>
  <sheetFormatPr defaultColWidth="8.85546875" defaultRowHeight="15.75"/>
  <cols>
    <col min="1" max="1" width="14.140625" style="418" customWidth="1"/>
    <col min="2" max="2" width="108.7109375" style="365" customWidth="1"/>
    <col min="3" max="3" width="16.140625" style="366" bestFit="1" customWidth="1"/>
    <col min="4" max="4" width="32" style="564" bestFit="1" customWidth="1"/>
    <col min="5" max="5" width="24.85546875" style="419" customWidth="1"/>
    <col min="6" max="6" width="17.7109375" style="366" customWidth="1"/>
    <col min="7" max="7" width="19.5703125" style="365" hidden="1" customWidth="1"/>
    <col min="8" max="8" width="18.7109375" style="365" hidden="1" customWidth="1"/>
    <col min="9" max="9" width="21.140625" style="365" hidden="1" customWidth="1"/>
    <col min="10" max="10" width="18.140625" style="365" hidden="1" customWidth="1"/>
    <col min="11" max="11" width="21.28515625" style="365" hidden="1" customWidth="1"/>
    <col min="12" max="12" width="26.28515625" style="365" hidden="1" customWidth="1"/>
    <col min="13" max="13" width="25.85546875" style="365" hidden="1" customWidth="1"/>
    <col min="14" max="14" width="19.5703125" style="365" hidden="1" customWidth="1"/>
    <col min="15" max="15" width="23.28515625" style="365" hidden="1" customWidth="1"/>
    <col min="16" max="16" width="22.42578125" style="365" hidden="1" customWidth="1"/>
    <col min="17" max="17" width="22.5703125" style="607" customWidth="1"/>
    <col min="18" max="20" width="8.85546875" style="365"/>
    <col min="21" max="21" width="18.140625" style="365" bestFit="1" customWidth="1"/>
    <col min="22" max="252" width="8.85546875" style="365"/>
    <col min="253" max="258" width="3.85546875" style="365" customWidth="1"/>
    <col min="259" max="259" width="7.7109375" style="365" customWidth="1"/>
    <col min="260" max="260" width="108.7109375" style="365" customWidth="1"/>
    <col min="261" max="261" width="24.85546875" style="365" bestFit="1" customWidth="1"/>
    <col min="262" max="262" width="14" style="365" customWidth="1"/>
    <col min="263" max="263" width="19.5703125" style="365" customWidth="1"/>
    <col min="264" max="264" width="18.7109375" style="365" customWidth="1"/>
    <col min="265" max="265" width="21.140625" style="365" customWidth="1"/>
    <col min="266" max="266" width="18.140625" style="365" customWidth="1"/>
    <col min="267" max="267" width="17.7109375" style="365" customWidth="1"/>
    <col min="268" max="268" width="24.42578125" style="365" customWidth="1"/>
    <col min="269" max="269" width="25.85546875" style="365" customWidth="1"/>
    <col min="270" max="270" width="19.5703125" style="365" customWidth="1"/>
    <col min="271" max="271" width="21.140625" style="365" customWidth="1"/>
    <col min="272" max="272" width="18.7109375" style="365" customWidth="1"/>
    <col min="273" max="276" width="8.85546875" style="365"/>
    <col min="277" max="277" width="16.28515625" style="365" bestFit="1" customWidth="1"/>
    <col min="278" max="508" width="8.85546875" style="365"/>
    <col min="509" max="514" width="3.85546875" style="365" customWidth="1"/>
    <col min="515" max="515" width="7.7109375" style="365" customWidth="1"/>
    <col min="516" max="516" width="108.7109375" style="365" customWidth="1"/>
    <col min="517" max="517" width="24.85546875" style="365" bestFit="1" customWidth="1"/>
    <col min="518" max="518" width="14" style="365" customWidth="1"/>
    <col min="519" max="519" width="19.5703125" style="365" customWidth="1"/>
    <col min="520" max="520" width="18.7109375" style="365" customWidth="1"/>
    <col min="521" max="521" width="21.140625" style="365" customWidth="1"/>
    <col min="522" max="522" width="18.140625" style="365" customWidth="1"/>
    <col min="523" max="523" width="17.7109375" style="365" customWidth="1"/>
    <col min="524" max="524" width="24.42578125" style="365" customWidth="1"/>
    <col min="525" max="525" width="25.85546875" style="365" customWidth="1"/>
    <col min="526" max="526" width="19.5703125" style="365" customWidth="1"/>
    <col min="527" max="527" width="21.140625" style="365" customWidth="1"/>
    <col min="528" max="528" width="18.7109375" style="365" customWidth="1"/>
    <col min="529" max="532" width="8.85546875" style="365"/>
    <col min="533" max="533" width="16.28515625" style="365" bestFit="1" customWidth="1"/>
    <col min="534" max="764" width="8.85546875" style="365"/>
    <col min="765" max="770" width="3.85546875" style="365" customWidth="1"/>
    <col min="771" max="771" width="7.7109375" style="365" customWidth="1"/>
    <col min="772" max="772" width="108.7109375" style="365" customWidth="1"/>
    <col min="773" max="773" width="24.85546875" style="365" bestFit="1" customWidth="1"/>
    <col min="774" max="774" width="14" style="365" customWidth="1"/>
    <col min="775" max="775" width="19.5703125" style="365" customWidth="1"/>
    <col min="776" max="776" width="18.7109375" style="365" customWidth="1"/>
    <col min="777" max="777" width="21.140625" style="365" customWidth="1"/>
    <col min="778" max="778" width="18.140625" style="365" customWidth="1"/>
    <col min="779" max="779" width="17.7109375" style="365" customWidth="1"/>
    <col min="780" max="780" width="24.42578125" style="365" customWidth="1"/>
    <col min="781" max="781" width="25.85546875" style="365" customWidth="1"/>
    <col min="782" max="782" width="19.5703125" style="365" customWidth="1"/>
    <col min="783" max="783" width="21.140625" style="365" customWidth="1"/>
    <col min="784" max="784" width="18.7109375" style="365" customWidth="1"/>
    <col min="785" max="788" width="8.85546875" style="365"/>
    <col min="789" max="789" width="16.28515625" style="365" bestFit="1" customWidth="1"/>
    <col min="790" max="1020" width="8.85546875" style="365"/>
    <col min="1021" max="1026" width="3.85546875" style="365" customWidth="1"/>
    <col min="1027" max="1027" width="7.7109375" style="365" customWidth="1"/>
    <col min="1028" max="1028" width="108.7109375" style="365" customWidth="1"/>
    <col min="1029" max="1029" width="24.85546875" style="365" bestFit="1" customWidth="1"/>
    <col min="1030" max="1030" width="14" style="365" customWidth="1"/>
    <col min="1031" max="1031" width="19.5703125" style="365" customWidth="1"/>
    <col min="1032" max="1032" width="18.7109375" style="365" customWidth="1"/>
    <col min="1033" max="1033" width="21.140625" style="365" customWidth="1"/>
    <col min="1034" max="1034" width="18.140625" style="365" customWidth="1"/>
    <col min="1035" max="1035" width="17.7109375" style="365" customWidth="1"/>
    <col min="1036" max="1036" width="24.42578125" style="365" customWidth="1"/>
    <col min="1037" max="1037" width="25.85546875" style="365" customWidth="1"/>
    <col min="1038" max="1038" width="19.5703125" style="365" customWidth="1"/>
    <col min="1039" max="1039" width="21.140625" style="365" customWidth="1"/>
    <col min="1040" max="1040" width="18.7109375" style="365" customWidth="1"/>
    <col min="1041" max="1044" width="8.85546875" style="365"/>
    <col min="1045" max="1045" width="16.28515625" style="365" bestFit="1" customWidth="1"/>
    <col min="1046" max="1276" width="8.85546875" style="365"/>
    <col min="1277" max="1282" width="3.85546875" style="365" customWidth="1"/>
    <col min="1283" max="1283" width="7.7109375" style="365" customWidth="1"/>
    <col min="1284" max="1284" width="108.7109375" style="365" customWidth="1"/>
    <col min="1285" max="1285" width="24.85546875" style="365" bestFit="1" customWidth="1"/>
    <col min="1286" max="1286" width="14" style="365" customWidth="1"/>
    <col min="1287" max="1287" width="19.5703125" style="365" customWidth="1"/>
    <col min="1288" max="1288" width="18.7109375" style="365" customWidth="1"/>
    <col min="1289" max="1289" width="21.140625" style="365" customWidth="1"/>
    <col min="1290" max="1290" width="18.140625" style="365" customWidth="1"/>
    <col min="1291" max="1291" width="17.7109375" style="365" customWidth="1"/>
    <col min="1292" max="1292" width="24.42578125" style="365" customWidth="1"/>
    <col min="1293" max="1293" width="25.85546875" style="365" customWidth="1"/>
    <col min="1294" max="1294" width="19.5703125" style="365" customWidth="1"/>
    <col min="1295" max="1295" width="21.140625" style="365" customWidth="1"/>
    <col min="1296" max="1296" width="18.7109375" style="365" customWidth="1"/>
    <col min="1297" max="1300" width="8.85546875" style="365"/>
    <col min="1301" max="1301" width="16.28515625" style="365" bestFit="1" customWidth="1"/>
    <col min="1302" max="1532" width="8.85546875" style="365"/>
    <col min="1533" max="1538" width="3.85546875" style="365" customWidth="1"/>
    <col min="1539" max="1539" width="7.7109375" style="365" customWidth="1"/>
    <col min="1540" max="1540" width="108.7109375" style="365" customWidth="1"/>
    <col min="1541" max="1541" width="24.85546875" style="365" bestFit="1" customWidth="1"/>
    <col min="1542" max="1542" width="14" style="365" customWidth="1"/>
    <col min="1543" max="1543" width="19.5703125" style="365" customWidth="1"/>
    <col min="1544" max="1544" width="18.7109375" style="365" customWidth="1"/>
    <col min="1545" max="1545" width="21.140625" style="365" customWidth="1"/>
    <col min="1546" max="1546" width="18.140625" style="365" customWidth="1"/>
    <col min="1547" max="1547" width="17.7109375" style="365" customWidth="1"/>
    <col min="1548" max="1548" width="24.42578125" style="365" customWidth="1"/>
    <col min="1549" max="1549" width="25.85546875" style="365" customWidth="1"/>
    <col min="1550" max="1550" width="19.5703125" style="365" customWidth="1"/>
    <col min="1551" max="1551" width="21.140625" style="365" customWidth="1"/>
    <col min="1552" max="1552" width="18.7109375" style="365" customWidth="1"/>
    <col min="1553" max="1556" width="8.85546875" style="365"/>
    <col min="1557" max="1557" width="16.28515625" style="365" bestFit="1" customWidth="1"/>
    <col min="1558" max="1788" width="8.85546875" style="365"/>
    <col min="1789" max="1794" width="3.85546875" style="365" customWidth="1"/>
    <col min="1795" max="1795" width="7.7109375" style="365" customWidth="1"/>
    <col min="1796" max="1796" width="108.7109375" style="365" customWidth="1"/>
    <col min="1797" max="1797" width="24.85546875" style="365" bestFit="1" customWidth="1"/>
    <col min="1798" max="1798" width="14" style="365" customWidth="1"/>
    <col min="1799" max="1799" width="19.5703125" style="365" customWidth="1"/>
    <col min="1800" max="1800" width="18.7109375" style="365" customWidth="1"/>
    <col min="1801" max="1801" width="21.140625" style="365" customWidth="1"/>
    <col min="1802" max="1802" width="18.140625" style="365" customWidth="1"/>
    <col min="1803" max="1803" width="17.7109375" style="365" customWidth="1"/>
    <col min="1804" max="1804" width="24.42578125" style="365" customWidth="1"/>
    <col min="1805" max="1805" width="25.85546875" style="365" customWidth="1"/>
    <col min="1806" max="1806" width="19.5703125" style="365" customWidth="1"/>
    <col min="1807" max="1807" width="21.140625" style="365" customWidth="1"/>
    <col min="1808" max="1808" width="18.7109375" style="365" customWidth="1"/>
    <col min="1809" max="1812" width="8.85546875" style="365"/>
    <col min="1813" max="1813" width="16.28515625" style="365" bestFit="1" customWidth="1"/>
    <col min="1814" max="2044" width="8.85546875" style="365"/>
    <col min="2045" max="2050" width="3.85546875" style="365" customWidth="1"/>
    <col min="2051" max="2051" width="7.7109375" style="365" customWidth="1"/>
    <col min="2052" max="2052" width="108.7109375" style="365" customWidth="1"/>
    <col min="2053" max="2053" width="24.85546875" style="365" bestFit="1" customWidth="1"/>
    <col min="2054" max="2054" width="14" style="365" customWidth="1"/>
    <col min="2055" max="2055" width="19.5703125" style="365" customWidth="1"/>
    <col min="2056" max="2056" width="18.7109375" style="365" customWidth="1"/>
    <col min="2057" max="2057" width="21.140625" style="365" customWidth="1"/>
    <col min="2058" max="2058" width="18.140625" style="365" customWidth="1"/>
    <col min="2059" max="2059" width="17.7109375" style="365" customWidth="1"/>
    <col min="2060" max="2060" width="24.42578125" style="365" customWidth="1"/>
    <col min="2061" max="2061" width="25.85546875" style="365" customWidth="1"/>
    <col min="2062" max="2062" width="19.5703125" style="365" customWidth="1"/>
    <col min="2063" max="2063" width="21.140625" style="365" customWidth="1"/>
    <col min="2064" max="2064" width="18.7109375" style="365" customWidth="1"/>
    <col min="2065" max="2068" width="8.85546875" style="365"/>
    <col min="2069" max="2069" width="16.28515625" style="365" bestFit="1" customWidth="1"/>
    <col min="2070" max="2300" width="8.85546875" style="365"/>
    <col min="2301" max="2306" width="3.85546875" style="365" customWidth="1"/>
    <col min="2307" max="2307" width="7.7109375" style="365" customWidth="1"/>
    <col min="2308" max="2308" width="108.7109375" style="365" customWidth="1"/>
    <col min="2309" max="2309" width="24.85546875" style="365" bestFit="1" customWidth="1"/>
    <col min="2310" max="2310" width="14" style="365" customWidth="1"/>
    <col min="2311" max="2311" width="19.5703125" style="365" customWidth="1"/>
    <col min="2312" max="2312" width="18.7109375" style="365" customWidth="1"/>
    <col min="2313" max="2313" width="21.140625" style="365" customWidth="1"/>
    <col min="2314" max="2314" width="18.140625" style="365" customWidth="1"/>
    <col min="2315" max="2315" width="17.7109375" style="365" customWidth="1"/>
    <col min="2316" max="2316" width="24.42578125" style="365" customWidth="1"/>
    <col min="2317" max="2317" width="25.85546875" style="365" customWidth="1"/>
    <col min="2318" max="2318" width="19.5703125" style="365" customWidth="1"/>
    <col min="2319" max="2319" width="21.140625" style="365" customWidth="1"/>
    <col min="2320" max="2320" width="18.7109375" style="365" customWidth="1"/>
    <col min="2321" max="2324" width="8.85546875" style="365"/>
    <col min="2325" max="2325" width="16.28515625" style="365" bestFit="1" customWidth="1"/>
    <col min="2326" max="2556" width="8.85546875" style="365"/>
    <col min="2557" max="2562" width="3.85546875" style="365" customWidth="1"/>
    <col min="2563" max="2563" width="7.7109375" style="365" customWidth="1"/>
    <col min="2564" max="2564" width="108.7109375" style="365" customWidth="1"/>
    <col min="2565" max="2565" width="24.85546875" style="365" bestFit="1" customWidth="1"/>
    <col min="2566" max="2566" width="14" style="365" customWidth="1"/>
    <col min="2567" max="2567" width="19.5703125" style="365" customWidth="1"/>
    <col min="2568" max="2568" width="18.7109375" style="365" customWidth="1"/>
    <col min="2569" max="2569" width="21.140625" style="365" customWidth="1"/>
    <col min="2570" max="2570" width="18.140625" style="365" customWidth="1"/>
    <col min="2571" max="2571" width="17.7109375" style="365" customWidth="1"/>
    <col min="2572" max="2572" width="24.42578125" style="365" customWidth="1"/>
    <col min="2573" max="2573" width="25.85546875" style="365" customWidth="1"/>
    <col min="2574" max="2574" width="19.5703125" style="365" customWidth="1"/>
    <col min="2575" max="2575" width="21.140625" style="365" customWidth="1"/>
    <col min="2576" max="2576" width="18.7109375" style="365" customWidth="1"/>
    <col min="2577" max="2580" width="8.85546875" style="365"/>
    <col min="2581" max="2581" width="16.28515625" style="365" bestFit="1" customWidth="1"/>
    <col min="2582" max="2812" width="8.85546875" style="365"/>
    <col min="2813" max="2818" width="3.85546875" style="365" customWidth="1"/>
    <col min="2819" max="2819" width="7.7109375" style="365" customWidth="1"/>
    <col min="2820" max="2820" width="108.7109375" style="365" customWidth="1"/>
    <col min="2821" max="2821" width="24.85546875" style="365" bestFit="1" customWidth="1"/>
    <col min="2822" max="2822" width="14" style="365" customWidth="1"/>
    <col min="2823" max="2823" width="19.5703125" style="365" customWidth="1"/>
    <col min="2824" max="2824" width="18.7109375" style="365" customWidth="1"/>
    <col min="2825" max="2825" width="21.140625" style="365" customWidth="1"/>
    <col min="2826" max="2826" width="18.140625" style="365" customWidth="1"/>
    <col min="2827" max="2827" width="17.7109375" style="365" customWidth="1"/>
    <col min="2828" max="2828" width="24.42578125" style="365" customWidth="1"/>
    <col min="2829" max="2829" width="25.85546875" style="365" customWidth="1"/>
    <col min="2830" max="2830" width="19.5703125" style="365" customWidth="1"/>
    <col min="2831" max="2831" width="21.140625" style="365" customWidth="1"/>
    <col min="2832" max="2832" width="18.7109375" style="365" customWidth="1"/>
    <col min="2833" max="2836" width="8.85546875" style="365"/>
    <col min="2837" max="2837" width="16.28515625" style="365" bestFit="1" customWidth="1"/>
    <col min="2838" max="3068" width="8.85546875" style="365"/>
    <col min="3069" max="3074" width="3.85546875" style="365" customWidth="1"/>
    <col min="3075" max="3075" width="7.7109375" style="365" customWidth="1"/>
    <col min="3076" max="3076" width="108.7109375" style="365" customWidth="1"/>
    <col min="3077" max="3077" width="24.85546875" style="365" bestFit="1" customWidth="1"/>
    <col min="3078" max="3078" width="14" style="365" customWidth="1"/>
    <col min="3079" max="3079" width="19.5703125" style="365" customWidth="1"/>
    <col min="3080" max="3080" width="18.7109375" style="365" customWidth="1"/>
    <col min="3081" max="3081" width="21.140625" style="365" customWidth="1"/>
    <col min="3082" max="3082" width="18.140625" style="365" customWidth="1"/>
    <col min="3083" max="3083" width="17.7109375" style="365" customWidth="1"/>
    <col min="3084" max="3084" width="24.42578125" style="365" customWidth="1"/>
    <col min="3085" max="3085" width="25.85546875" style="365" customWidth="1"/>
    <col min="3086" max="3086" width="19.5703125" style="365" customWidth="1"/>
    <col min="3087" max="3087" width="21.140625" style="365" customWidth="1"/>
    <col min="3088" max="3088" width="18.7109375" style="365" customWidth="1"/>
    <col min="3089" max="3092" width="8.85546875" style="365"/>
    <col min="3093" max="3093" width="16.28515625" style="365" bestFit="1" customWidth="1"/>
    <col min="3094" max="3324" width="8.85546875" style="365"/>
    <col min="3325" max="3330" width="3.85546875" style="365" customWidth="1"/>
    <col min="3331" max="3331" width="7.7109375" style="365" customWidth="1"/>
    <col min="3332" max="3332" width="108.7109375" style="365" customWidth="1"/>
    <col min="3333" max="3333" width="24.85546875" style="365" bestFit="1" customWidth="1"/>
    <col min="3334" max="3334" width="14" style="365" customWidth="1"/>
    <col min="3335" max="3335" width="19.5703125" style="365" customWidth="1"/>
    <col min="3336" max="3336" width="18.7109375" style="365" customWidth="1"/>
    <col min="3337" max="3337" width="21.140625" style="365" customWidth="1"/>
    <col min="3338" max="3338" width="18.140625" style="365" customWidth="1"/>
    <col min="3339" max="3339" width="17.7109375" style="365" customWidth="1"/>
    <col min="3340" max="3340" width="24.42578125" style="365" customWidth="1"/>
    <col min="3341" max="3341" width="25.85546875" style="365" customWidth="1"/>
    <col min="3342" max="3342" width="19.5703125" style="365" customWidth="1"/>
    <col min="3343" max="3343" width="21.140625" style="365" customWidth="1"/>
    <col min="3344" max="3344" width="18.7109375" style="365" customWidth="1"/>
    <col min="3345" max="3348" width="8.85546875" style="365"/>
    <col min="3349" max="3349" width="16.28515625" style="365" bestFit="1" customWidth="1"/>
    <col min="3350" max="3580" width="8.85546875" style="365"/>
    <col min="3581" max="3586" width="3.85546875" style="365" customWidth="1"/>
    <col min="3587" max="3587" width="7.7109375" style="365" customWidth="1"/>
    <col min="3588" max="3588" width="108.7109375" style="365" customWidth="1"/>
    <col min="3589" max="3589" width="24.85546875" style="365" bestFit="1" customWidth="1"/>
    <col min="3590" max="3590" width="14" style="365" customWidth="1"/>
    <col min="3591" max="3591" width="19.5703125" style="365" customWidth="1"/>
    <col min="3592" max="3592" width="18.7109375" style="365" customWidth="1"/>
    <col min="3593" max="3593" width="21.140625" style="365" customWidth="1"/>
    <col min="3594" max="3594" width="18.140625" style="365" customWidth="1"/>
    <col min="3595" max="3595" width="17.7109375" style="365" customWidth="1"/>
    <col min="3596" max="3596" width="24.42578125" style="365" customWidth="1"/>
    <col min="3597" max="3597" width="25.85546875" style="365" customWidth="1"/>
    <col min="3598" max="3598" width="19.5703125" style="365" customWidth="1"/>
    <col min="3599" max="3599" width="21.140625" style="365" customWidth="1"/>
    <col min="3600" max="3600" width="18.7109375" style="365" customWidth="1"/>
    <col min="3601" max="3604" width="8.85546875" style="365"/>
    <col min="3605" max="3605" width="16.28515625" style="365" bestFit="1" customWidth="1"/>
    <col min="3606" max="3836" width="8.85546875" style="365"/>
    <col min="3837" max="3842" width="3.85546875" style="365" customWidth="1"/>
    <col min="3843" max="3843" width="7.7109375" style="365" customWidth="1"/>
    <col min="3844" max="3844" width="108.7109375" style="365" customWidth="1"/>
    <col min="3845" max="3845" width="24.85546875" style="365" bestFit="1" customWidth="1"/>
    <col min="3846" max="3846" width="14" style="365" customWidth="1"/>
    <col min="3847" max="3847" width="19.5703125" style="365" customWidth="1"/>
    <col min="3848" max="3848" width="18.7109375" style="365" customWidth="1"/>
    <col min="3849" max="3849" width="21.140625" style="365" customWidth="1"/>
    <col min="3850" max="3850" width="18.140625" style="365" customWidth="1"/>
    <col min="3851" max="3851" width="17.7109375" style="365" customWidth="1"/>
    <col min="3852" max="3852" width="24.42578125" style="365" customWidth="1"/>
    <col min="3853" max="3853" width="25.85546875" style="365" customWidth="1"/>
    <col min="3854" max="3854" width="19.5703125" style="365" customWidth="1"/>
    <col min="3855" max="3855" width="21.140625" style="365" customWidth="1"/>
    <col min="3856" max="3856" width="18.7109375" style="365" customWidth="1"/>
    <col min="3857" max="3860" width="8.85546875" style="365"/>
    <col min="3861" max="3861" width="16.28515625" style="365" bestFit="1" customWidth="1"/>
    <col min="3862" max="4092" width="8.85546875" style="365"/>
    <col min="4093" max="4098" width="3.85546875" style="365" customWidth="1"/>
    <col min="4099" max="4099" width="7.7109375" style="365" customWidth="1"/>
    <col min="4100" max="4100" width="108.7109375" style="365" customWidth="1"/>
    <col min="4101" max="4101" width="24.85546875" style="365" bestFit="1" customWidth="1"/>
    <col min="4102" max="4102" width="14" style="365" customWidth="1"/>
    <col min="4103" max="4103" width="19.5703125" style="365" customWidth="1"/>
    <col min="4104" max="4104" width="18.7109375" style="365" customWidth="1"/>
    <col min="4105" max="4105" width="21.140625" style="365" customWidth="1"/>
    <col min="4106" max="4106" width="18.140625" style="365" customWidth="1"/>
    <col min="4107" max="4107" width="17.7109375" style="365" customWidth="1"/>
    <col min="4108" max="4108" width="24.42578125" style="365" customWidth="1"/>
    <col min="4109" max="4109" width="25.85546875" style="365" customWidth="1"/>
    <col min="4110" max="4110" width="19.5703125" style="365" customWidth="1"/>
    <col min="4111" max="4111" width="21.140625" style="365" customWidth="1"/>
    <col min="4112" max="4112" width="18.7109375" style="365" customWidth="1"/>
    <col min="4113" max="4116" width="8.85546875" style="365"/>
    <col min="4117" max="4117" width="16.28515625" style="365" bestFit="1" customWidth="1"/>
    <col min="4118" max="4348" width="8.85546875" style="365"/>
    <col min="4349" max="4354" width="3.85546875" style="365" customWidth="1"/>
    <col min="4355" max="4355" width="7.7109375" style="365" customWidth="1"/>
    <col min="4356" max="4356" width="108.7109375" style="365" customWidth="1"/>
    <col min="4357" max="4357" width="24.85546875" style="365" bestFit="1" customWidth="1"/>
    <col min="4358" max="4358" width="14" style="365" customWidth="1"/>
    <col min="4359" max="4359" width="19.5703125" style="365" customWidth="1"/>
    <col min="4360" max="4360" width="18.7109375" style="365" customWidth="1"/>
    <col min="4361" max="4361" width="21.140625" style="365" customWidth="1"/>
    <col min="4362" max="4362" width="18.140625" style="365" customWidth="1"/>
    <col min="4363" max="4363" width="17.7109375" style="365" customWidth="1"/>
    <col min="4364" max="4364" width="24.42578125" style="365" customWidth="1"/>
    <col min="4365" max="4365" width="25.85546875" style="365" customWidth="1"/>
    <col min="4366" max="4366" width="19.5703125" style="365" customWidth="1"/>
    <col min="4367" max="4367" width="21.140625" style="365" customWidth="1"/>
    <col min="4368" max="4368" width="18.7109375" style="365" customWidth="1"/>
    <col min="4369" max="4372" width="8.85546875" style="365"/>
    <col min="4373" max="4373" width="16.28515625" style="365" bestFit="1" customWidth="1"/>
    <col min="4374" max="4604" width="8.85546875" style="365"/>
    <col min="4605" max="4610" width="3.85546875" style="365" customWidth="1"/>
    <col min="4611" max="4611" width="7.7109375" style="365" customWidth="1"/>
    <col min="4612" max="4612" width="108.7109375" style="365" customWidth="1"/>
    <col min="4613" max="4613" width="24.85546875" style="365" bestFit="1" customWidth="1"/>
    <col min="4614" max="4614" width="14" style="365" customWidth="1"/>
    <col min="4615" max="4615" width="19.5703125" style="365" customWidth="1"/>
    <col min="4616" max="4616" width="18.7109375" style="365" customWidth="1"/>
    <col min="4617" max="4617" width="21.140625" style="365" customWidth="1"/>
    <col min="4618" max="4618" width="18.140625" style="365" customWidth="1"/>
    <col min="4619" max="4619" width="17.7109375" style="365" customWidth="1"/>
    <col min="4620" max="4620" width="24.42578125" style="365" customWidth="1"/>
    <col min="4621" max="4621" width="25.85546875" style="365" customWidth="1"/>
    <col min="4622" max="4622" width="19.5703125" style="365" customWidth="1"/>
    <col min="4623" max="4623" width="21.140625" style="365" customWidth="1"/>
    <col min="4624" max="4624" width="18.7109375" style="365" customWidth="1"/>
    <col min="4625" max="4628" width="8.85546875" style="365"/>
    <col min="4629" max="4629" width="16.28515625" style="365" bestFit="1" customWidth="1"/>
    <col min="4630" max="4860" width="8.85546875" style="365"/>
    <col min="4861" max="4866" width="3.85546875" style="365" customWidth="1"/>
    <col min="4867" max="4867" width="7.7109375" style="365" customWidth="1"/>
    <col min="4868" max="4868" width="108.7109375" style="365" customWidth="1"/>
    <col min="4869" max="4869" width="24.85546875" style="365" bestFit="1" customWidth="1"/>
    <col min="4870" max="4870" width="14" style="365" customWidth="1"/>
    <col min="4871" max="4871" width="19.5703125" style="365" customWidth="1"/>
    <col min="4872" max="4872" width="18.7109375" style="365" customWidth="1"/>
    <col min="4873" max="4873" width="21.140625" style="365" customWidth="1"/>
    <col min="4874" max="4874" width="18.140625" style="365" customWidth="1"/>
    <col min="4875" max="4875" width="17.7109375" style="365" customWidth="1"/>
    <col min="4876" max="4876" width="24.42578125" style="365" customWidth="1"/>
    <col min="4877" max="4877" width="25.85546875" style="365" customWidth="1"/>
    <col min="4878" max="4878" width="19.5703125" style="365" customWidth="1"/>
    <col min="4879" max="4879" width="21.140625" style="365" customWidth="1"/>
    <col min="4880" max="4880" width="18.7109375" style="365" customWidth="1"/>
    <col min="4881" max="4884" width="8.85546875" style="365"/>
    <col min="4885" max="4885" width="16.28515625" style="365" bestFit="1" customWidth="1"/>
    <col min="4886" max="5116" width="8.85546875" style="365"/>
    <col min="5117" max="5122" width="3.85546875" style="365" customWidth="1"/>
    <col min="5123" max="5123" width="7.7109375" style="365" customWidth="1"/>
    <col min="5124" max="5124" width="108.7109375" style="365" customWidth="1"/>
    <col min="5125" max="5125" width="24.85546875" style="365" bestFit="1" customWidth="1"/>
    <col min="5126" max="5126" width="14" style="365" customWidth="1"/>
    <col min="5127" max="5127" width="19.5703125" style="365" customWidth="1"/>
    <col min="5128" max="5128" width="18.7109375" style="365" customWidth="1"/>
    <col min="5129" max="5129" width="21.140625" style="365" customWidth="1"/>
    <col min="5130" max="5130" width="18.140625" style="365" customWidth="1"/>
    <col min="5131" max="5131" width="17.7109375" style="365" customWidth="1"/>
    <col min="5132" max="5132" width="24.42578125" style="365" customWidth="1"/>
    <col min="5133" max="5133" width="25.85546875" style="365" customWidth="1"/>
    <col min="5134" max="5134" width="19.5703125" style="365" customWidth="1"/>
    <col min="5135" max="5135" width="21.140625" style="365" customWidth="1"/>
    <col min="5136" max="5136" width="18.7109375" style="365" customWidth="1"/>
    <col min="5137" max="5140" width="8.85546875" style="365"/>
    <col min="5141" max="5141" width="16.28515625" style="365" bestFit="1" customWidth="1"/>
    <col min="5142" max="5372" width="8.85546875" style="365"/>
    <col min="5373" max="5378" width="3.85546875" style="365" customWidth="1"/>
    <col min="5379" max="5379" width="7.7109375" style="365" customWidth="1"/>
    <col min="5380" max="5380" width="108.7109375" style="365" customWidth="1"/>
    <col min="5381" max="5381" width="24.85546875" style="365" bestFit="1" customWidth="1"/>
    <col min="5382" max="5382" width="14" style="365" customWidth="1"/>
    <col min="5383" max="5383" width="19.5703125" style="365" customWidth="1"/>
    <col min="5384" max="5384" width="18.7109375" style="365" customWidth="1"/>
    <col min="5385" max="5385" width="21.140625" style="365" customWidth="1"/>
    <col min="5386" max="5386" width="18.140625" style="365" customWidth="1"/>
    <col min="5387" max="5387" width="17.7109375" style="365" customWidth="1"/>
    <col min="5388" max="5388" width="24.42578125" style="365" customWidth="1"/>
    <col min="5389" max="5389" width="25.85546875" style="365" customWidth="1"/>
    <col min="5390" max="5390" width="19.5703125" style="365" customWidth="1"/>
    <col min="5391" max="5391" width="21.140625" style="365" customWidth="1"/>
    <col min="5392" max="5392" width="18.7109375" style="365" customWidth="1"/>
    <col min="5393" max="5396" width="8.85546875" style="365"/>
    <col min="5397" max="5397" width="16.28515625" style="365" bestFit="1" customWidth="1"/>
    <col min="5398" max="5628" width="8.85546875" style="365"/>
    <col min="5629" max="5634" width="3.85546875" style="365" customWidth="1"/>
    <col min="5635" max="5635" width="7.7109375" style="365" customWidth="1"/>
    <col min="5636" max="5636" width="108.7109375" style="365" customWidth="1"/>
    <col min="5637" max="5637" width="24.85546875" style="365" bestFit="1" customWidth="1"/>
    <col min="5638" max="5638" width="14" style="365" customWidth="1"/>
    <col min="5639" max="5639" width="19.5703125" style="365" customWidth="1"/>
    <col min="5640" max="5640" width="18.7109375" style="365" customWidth="1"/>
    <col min="5641" max="5641" width="21.140625" style="365" customWidth="1"/>
    <col min="5642" max="5642" width="18.140625" style="365" customWidth="1"/>
    <col min="5643" max="5643" width="17.7109375" style="365" customWidth="1"/>
    <col min="5644" max="5644" width="24.42578125" style="365" customWidth="1"/>
    <col min="5645" max="5645" width="25.85546875" style="365" customWidth="1"/>
    <col min="5646" max="5646" width="19.5703125" style="365" customWidth="1"/>
    <col min="5647" max="5647" width="21.140625" style="365" customWidth="1"/>
    <col min="5648" max="5648" width="18.7109375" style="365" customWidth="1"/>
    <col min="5649" max="5652" width="8.85546875" style="365"/>
    <col min="5653" max="5653" width="16.28515625" style="365" bestFit="1" customWidth="1"/>
    <col min="5654" max="5884" width="8.85546875" style="365"/>
    <col min="5885" max="5890" width="3.85546875" style="365" customWidth="1"/>
    <col min="5891" max="5891" width="7.7109375" style="365" customWidth="1"/>
    <col min="5892" max="5892" width="108.7109375" style="365" customWidth="1"/>
    <col min="5893" max="5893" width="24.85546875" style="365" bestFit="1" customWidth="1"/>
    <col min="5894" max="5894" width="14" style="365" customWidth="1"/>
    <col min="5895" max="5895" width="19.5703125" style="365" customWidth="1"/>
    <col min="5896" max="5896" width="18.7109375" style="365" customWidth="1"/>
    <col min="5897" max="5897" width="21.140625" style="365" customWidth="1"/>
    <col min="5898" max="5898" width="18.140625" style="365" customWidth="1"/>
    <col min="5899" max="5899" width="17.7109375" style="365" customWidth="1"/>
    <col min="5900" max="5900" width="24.42578125" style="365" customWidth="1"/>
    <col min="5901" max="5901" width="25.85546875" style="365" customWidth="1"/>
    <col min="5902" max="5902" width="19.5703125" style="365" customWidth="1"/>
    <col min="5903" max="5903" width="21.140625" style="365" customWidth="1"/>
    <col min="5904" max="5904" width="18.7109375" style="365" customWidth="1"/>
    <col min="5905" max="5908" width="8.85546875" style="365"/>
    <col min="5909" max="5909" width="16.28515625" style="365" bestFit="1" customWidth="1"/>
    <col min="5910" max="6140" width="8.85546875" style="365"/>
    <col min="6141" max="6146" width="3.85546875" style="365" customWidth="1"/>
    <col min="6147" max="6147" width="7.7109375" style="365" customWidth="1"/>
    <col min="6148" max="6148" width="108.7109375" style="365" customWidth="1"/>
    <col min="6149" max="6149" width="24.85546875" style="365" bestFit="1" customWidth="1"/>
    <col min="6150" max="6150" width="14" style="365" customWidth="1"/>
    <col min="6151" max="6151" width="19.5703125" style="365" customWidth="1"/>
    <col min="6152" max="6152" width="18.7109375" style="365" customWidth="1"/>
    <col min="6153" max="6153" width="21.140625" style="365" customWidth="1"/>
    <col min="6154" max="6154" width="18.140625" style="365" customWidth="1"/>
    <col min="6155" max="6155" width="17.7109375" style="365" customWidth="1"/>
    <col min="6156" max="6156" width="24.42578125" style="365" customWidth="1"/>
    <col min="6157" max="6157" width="25.85546875" style="365" customWidth="1"/>
    <col min="6158" max="6158" width="19.5703125" style="365" customWidth="1"/>
    <col min="6159" max="6159" width="21.140625" style="365" customWidth="1"/>
    <col min="6160" max="6160" width="18.7109375" style="365" customWidth="1"/>
    <col min="6161" max="6164" width="8.85546875" style="365"/>
    <col min="6165" max="6165" width="16.28515625" style="365" bestFit="1" customWidth="1"/>
    <col min="6166" max="6396" width="8.85546875" style="365"/>
    <col min="6397" max="6402" width="3.85546875" style="365" customWidth="1"/>
    <col min="6403" max="6403" width="7.7109375" style="365" customWidth="1"/>
    <col min="6404" max="6404" width="108.7109375" style="365" customWidth="1"/>
    <col min="6405" max="6405" width="24.85546875" style="365" bestFit="1" customWidth="1"/>
    <col min="6406" max="6406" width="14" style="365" customWidth="1"/>
    <col min="6407" max="6407" width="19.5703125" style="365" customWidth="1"/>
    <col min="6408" max="6408" width="18.7109375" style="365" customWidth="1"/>
    <col min="6409" max="6409" width="21.140625" style="365" customWidth="1"/>
    <col min="6410" max="6410" width="18.140625" style="365" customWidth="1"/>
    <col min="6411" max="6411" width="17.7109375" style="365" customWidth="1"/>
    <col min="6412" max="6412" width="24.42578125" style="365" customWidth="1"/>
    <col min="6413" max="6413" width="25.85546875" style="365" customWidth="1"/>
    <col min="6414" max="6414" width="19.5703125" style="365" customWidth="1"/>
    <col min="6415" max="6415" width="21.140625" style="365" customWidth="1"/>
    <col min="6416" max="6416" width="18.7109375" style="365" customWidth="1"/>
    <col min="6417" max="6420" width="8.85546875" style="365"/>
    <col min="6421" max="6421" width="16.28515625" style="365" bestFit="1" customWidth="1"/>
    <col min="6422" max="6652" width="8.85546875" style="365"/>
    <col min="6653" max="6658" width="3.85546875" style="365" customWidth="1"/>
    <col min="6659" max="6659" width="7.7109375" style="365" customWidth="1"/>
    <col min="6660" max="6660" width="108.7109375" style="365" customWidth="1"/>
    <col min="6661" max="6661" width="24.85546875" style="365" bestFit="1" customWidth="1"/>
    <col min="6662" max="6662" width="14" style="365" customWidth="1"/>
    <col min="6663" max="6663" width="19.5703125" style="365" customWidth="1"/>
    <col min="6664" max="6664" width="18.7109375" style="365" customWidth="1"/>
    <col min="6665" max="6665" width="21.140625" style="365" customWidth="1"/>
    <col min="6666" max="6666" width="18.140625" style="365" customWidth="1"/>
    <col min="6667" max="6667" width="17.7109375" style="365" customWidth="1"/>
    <col min="6668" max="6668" width="24.42578125" style="365" customWidth="1"/>
    <col min="6669" max="6669" width="25.85546875" style="365" customWidth="1"/>
    <col min="6670" max="6670" width="19.5703125" style="365" customWidth="1"/>
    <col min="6671" max="6671" width="21.140625" style="365" customWidth="1"/>
    <col min="6672" max="6672" width="18.7109375" style="365" customWidth="1"/>
    <col min="6673" max="6676" width="8.85546875" style="365"/>
    <col min="6677" max="6677" width="16.28515625" style="365" bestFit="1" customWidth="1"/>
    <col min="6678" max="6908" width="8.85546875" style="365"/>
    <col min="6909" max="6914" width="3.85546875" style="365" customWidth="1"/>
    <col min="6915" max="6915" width="7.7109375" style="365" customWidth="1"/>
    <col min="6916" max="6916" width="108.7109375" style="365" customWidth="1"/>
    <col min="6917" max="6917" width="24.85546875" style="365" bestFit="1" customWidth="1"/>
    <col min="6918" max="6918" width="14" style="365" customWidth="1"/>
    <col min="6919" max="6919" width="19.5703125" style="365" customWidth="1"/>
    <col min="6920" max="6920" width="18.7109375" style="365" customWidth="1"/>
    <col min="6921" max="6921" width="21.140625" style="365" customWidth="1"/>
    <col min="6922" max="6922" width="18.140625" style="365" customWidth="1"/>
    <col min="6923" max="6923" width="17.7109375" style="365" customWidth="1"/>
    <col min="6924" max="6924" width="24.42578125" style="365" customWidth="1"/>
    <col min="6925" max="6925" width="25.85546875" style="365" customWidth="1"/>
    <col min="6926" max="6926" width="19.5703125" style="365" customWidth="1"/>
    <col min="6927" max="6927" width="21.140625" style="365" customWidth="1"/>
    <col min="6928" max="6928" width="18.7109375" style="365" customWidth="1"/>
    <col min="6929" max="6932" width="8.85546875" style="365"/>
    <col min="6933" max="6933" width="16.28515625" style="365" bestFit="1" customWidth="1"/>
    <col min="6934" max="7164" width="8.85546875" style="365"/>
    <col min="7165" max="7170" width="3.85546875" style="365" customWidth="1"/>
    <col min="7171" max="7171" width="7.7109375" style="365" customWidth="1"/>
    <col min="7172" max="7172" width="108.7109375" style="365" customWidth="1"/>
    <col min="7173" max="7173" width="24.85546875" style="365" bestFit="1" customWidth="1"/>
    <col min="7174" max="7174" width="14" style="365" customWidth="1"/>
    <col min="7175" max="7175" width="19.5703125" style="365" customWidth="1"/>
    <col min="7176" max="7176" width="18.7109375" style="365" customWidth="1"/>
    <col min="7177" max="7177" width="21.140625" style="365" customWidth="1"/>
    <col min="7178" max="7178" width="18.140625" style="365" customWidth="1"/>
    <col min="7179" max="7179" width="17.7109375" style="365" customWidth="1"/>
    <col min="7180" max="7180" width="24.42578125" style="365" customWidth="1"/>
    <col min="7181" max="7181" width="25.85546875" style="365" customWidth="1"/>
    <col min="7182" max="7182" width="19.5703125" style="365" customWidth="1"/>
    <col min="7183" max="7183" width="21.140625" style="365" customWidth="1"/>
    <col min="7184" max="7184" width="18.7109375" style="365" customWidth="1"/>
    <col min="7185" max="7188" width="8.85546875" style="365"/>
    <col min="7189" max="7189" width="16.28515625" style="365" bestFit="1" customWidth="1"/>
    <col min="7190" max="7420" width="8.85546875" style="365"/>
    <col min="7421" max="7426" width="3.85546875" style="365" customWidth="1"/>
    <col min="7427" max="7427" width="7.7109375" style="365" customWidth="1"/>
    <col min="7428" max="7428" width="108.7109375" style="365" customWidth="1"/>
    <col min="7429" max="7429" width="24.85546875" style="365" bestFit="1" customWidth="1"/>
    <col min="7430" max="7430" width="14" style="365" customWidth="1"/>
    <col min="7431" max="7431" width="19.5703125" style="365" customWidth="1"/>
    <col min="7432" max="7432" width="18.7109375" style="365" customWidth="1"/>
    <col min="7433" max="7433" width="21.140625" style="365" customWidth="1"/>
    <col min="7434" max="7434" width="18.140625" style="365" customWidth="1"/>
    <col min="7435" max="7435" width="17.7109375" style="365" customWidth="1"/>
    <col min="7436" max="7436" width="24.42578125" style="365" customWidth="1"/>
    <col min="7437" max="7437" width="25.85546875" style="365" customWidth="1"/>
    <col min="7438" max="7438" width="19.5703125" style="365" customWidth="1"/>
    <col min="7439" max="7439" width="21.140625" style="365" customWidth="1"/>
    <col min="7440" max="7440" width="18.7109375" style="365" customWidth="1"/>
    <col min="7441" max="7444" width="8.85546875" style="365"/>
    <col min="7445" max="7445" width="16.28515625" style="365" bestFit="1" customWidth="1"/>
    <col min="7446" max="7676" width="8.85546875" style="365"/>
    <col min="7677" max="7682" width="3.85546875" style="365" customWidth="1"/>
    <col min="7683" max="7683" width="7.7109375" style="365" customWidth="1"/>
    <col min="7684" max="7684" width="108.7109375" style="365" customWidth="1"/>
    <col min="7685" max="7685" width="24.85546875" style="365" bestFit="1" customWidth="1"/>
    <col min="7686" max="7686" width="14" style="365" customWidth="1"/>
    <col min="7687" max="7687" width="19.5703125" style="365" customWidth="1"/>
    <col min="7688" max="7688" width="18.7109375" style="365" customWidth="1"/>
    <col min="7689" max="7689" width="21.140625" style="365" customWidth="1"/>
    <col min="7690" max="7690" width="18.140625" style="365" customWidth="1"/>
    <col min="7691" max="7691" width="17.7109375" style="365" customWidth="1"/>
    <col min="7692" max="7692" width="24.42578125" style="365" customWidth="1"/>
    <col min="7693" max="7693" width="25.85546875" style="365" customWidth="1"/>
    <col min="7694" max="7694" width="19.5703125" style="365" customWidth="1"/>
    <col min="7695" max="7695" width="21.140625" style="365" customWidth="1"/>
    <col min="7696" max="7696" width="18.7109375" style="365" customWidth="1"/>
    <col min="7697" max="7700" width="8.85546875" style="365"/>
    <col min="7701" max="7701" width="16.28515625" style="365" bestFit="1" customWidth="1"/>
    <col min="7702" max="7932" width="8.85546875" style="365"/>
    <col min="7933" max="7938" width="3.85546875" style="365" customWidth="1"/>
    <col min="7939" max="7939" width="7.7109375" style="365" customWidth="1"/>
    <col min="7940" max="7940" width="108.7109375" style="365" customWidth="1"/>
    <col min="7941" max="7941" width="24.85546875" style="365" bestFit="1" customWidth="1"/>
    <col min="7942" max="7942" width="14" style="365" customWidth="1"/>
    <col min="7943" max="7943" width="19.5703125" style="365" customWidth="1"/>
    <col min="7944" max="7944" width="18.7109375" style="365" customWidth="1"/>
    <col min="7945" max="7945" width="21.140625" style="365" customWidth="1"/>
    <col min="7946" max="7946" width="18.140625" style="365" customWidth="1"/>
    <col min="7947" max="7947" width="17.7109375" style="365" customWidth="1"/>
    <col min="7948" max="7948" width="24.42578125" style="365" customWidth="1"/>
    <col min="7949" max="7949" width="25.85546875" style="365" customWidth="1"/>
    <col min="7950" max="7950" width="19.5703125" style="365" customWidth="1"/>
    <col min="7951" max="7951" width="21.140625" style="365" customWidth="1"/>
    <col min="7952" max="7952" width="18.7109375" style="365" customWidth="1"/>
    <col min="7953" max="7956" width="8.85546875" style="365"/>
    <col min="7957" max="7957" width="16.28515625" style="365" bestFit="1" customWidth="1"/>
    <col min="7958" max="8188" width="8.85546875" style="365"/>
    <col min="8189" max="8194" width="3.85546875" style="365" customWidth="1"/>
    <col min="8195" max="8195" width="7.7109375" style="365" customWidth="1"/>
    <col min="8196" max="8196" width="108.7109375" style="365" customWidth="1"/>
    <col min="8197" max="8197" width="24.85546875" style="365" bestFit="1" customWidth="1"/>
    <col min="8198" max="8198" width="14" style="365" customWidth="1"/>
    <col min="8199" max="8199" width="19.5703125" style="365" customWidth="1"/>
    <col min="8200" max="8200" width="18.7109375" style="365" customWidth="1"/>
    <col min="8201" max="8201" width="21.140625" style="365" customWidth="1"/>
    <col min="8202" max="8202" width="18.140625" style="365" customWidth="1"/>
    <col min="8203" max="8203" width="17.7109375" style="365" customWidth="1"/>
    <col min="8204" max="8204" width="24.42578125" style="365" customWidth="1"/>
    <col min="8205" max="8205" width="25.85546875" style="365" customWidth="1"/>
    <col min="8206" max="8206" width="19.5703125" style="365" customWidth="1"/>
    <col min="8207" max="8207" width="21.140625" style="365" customWidth="1"/>
    <col min="8208" max="8208" width="18.7109375" style="365" customWidth="1"/>
    <col min="8209" max="8212" width="8.85546875" style="365"/>
    <col min="8213" max="8213" width="16.28515625" style="365" bestFit="1" customWidth="1"/>
    <col min="8214" max="8444" width="8.85546875" style="365"/>
    <col min="8445" max="8450" width="3.85546875" style="365" customWidth="1"/>
    <col min="8451" max="8451" width="7.7109375" style="365" customWidth="1"/>
    <col min="8452" max="8452" width="108.7109375" style="365" customWidth="1"/>
    <col min="8453" max="8453" width="24.85546875" style="365" bestFit="1" customWidth="1"/>
    <col min="8454" max="8454" width="14" style="365" customWidth="1"/>
    <col min="8455" max="8455" width="19.5703125" style="365" customWidth="1"/>
    <col min="8456" max="8456" width="18.7109375" style="365" customWidth="1"/>
    <col min="8457" max="8457" width="21.140625" style="365" customWidth="1"/>
    <col min="8458" max="8458" width="18.140625" style="365" customWidth="1"/>
    <col min="8459" max="8459" width="17.7109375" style="365" customWidth="1"/>
    <col min="8460" max="8460" width="24.42578125" style="365" customWidth="1"/>
    <col min="8461" max="8461" width="25.85546875" style="365" customWidth="1"/>
    <col min="8462" max="8462" width="19.5703125" style="365" customWidth="1"/>
    <col min="8463" max="8463" width="21.140625" style="365" customWidth="1"/>
    <col min="8464" max="8464" width="18.7109375" style="365" customWidth="1"/>
    <col min="8465" max="8468" width="8.85546875" style="365"/>
    <col min="8469" max="8469" width="16.28515625" style="365" bestFit="1" customWidth="1"/>
    <col min="8470" max="8700" width="8.85546875" style="365"/>
    <col min="8701" max="8706" width="3.85546875" style="365" customWidth="1"/>
    <col min="8707" max="8707" width="7.7109375" style="365" customWidth="1"/>
    <col min="8708" max="8708" width="108.7109375" style="365" customWidth="1"/>
    <col min="8709" max="8709" width="24.85546875" style="365" bestFit="1" customWidth="1"/>
    <col min="8710" max="8710" width="14" style="365" customWidth="1"/>
    <col min="8711" max="8711" width="19.5703125" style="365" customWidth="1"/>
    <col min="8712" max="8712" width="18.7109375" style="365" customWidth="1"/>
    <col min="8713" max="8713" width="21.140625" style="365" customWidth="1"/>
    <col min="8714" max="8714" width="18.140625" style="365" customWidth="1"/>
    <col min="8715" max="8715" width="17.7109375" style="365" customWidth="1"/>
    <col min="8716" max="8716" width="24.42578125" style="365" customWidth="1"/>
    <col min="8717" max="8717" width="25.85546875" style="365" customWidth="1"/>
    <col min="8718" max="8718" width="19.5703125" style="365" customWidth="1"/>
    <col min="8719" max="8719" width="21.140625" style="365" customWidth="1"/>
    <col min="8720" max="8720" width="18.7109375" style="365" customWidth="1"/>
    <col min="8721" max="8724" width="8.85546875" style="365"/>
    <col min="8725" max="8725" width="16.28515625" style="365" bestFit="1" customWidth="1"/>
    <col min="8726" max="8956" width="8.85546875" style="365"/>
    <col min="8957" max="8962" width="3.85546875" style="365" customWidth="1"/>
    <col min="8963" max="8963" width="7.7109375" style="365" customWidth="1"/>
    <col min="8964" max="8964" width="108.7109375" style="365" customWidth="1"/>
    <col min="8965" max="8965" width="24.85546875" style="365" bestFit="1" customWidth="1"/>
    <col min="8966" max="8966" width="14" style="365" customWidth="1"/>
    <col min="8967" max="8967" width="19.5703125" style="365" customWidth="1"/>
    <col min="8968" max="8968" width="18.7109375" style="365" customWidth="1"/>
    <col min="8969" max="8969" width="21.140625" style="365" customWidth="1"/>
    <col min="8970" max="8970" width="18.140625" style="365" customWidth="1"/>
    <col min="8971" max="8971" width="17.7109375" style="365" customWidth="1"/>
    <col min="8972" max="8972" width="24.42578125" style="365" customWidth="1"/>
    <col min="8973" max="8973" width="25.85546875" style="365" customWidth="1"/>
    <col min="8974" max="8974" width="19.5703125" style="365" customWidth="1"/>
    <col min="8975" max="8975" width="21.140625" style="365" customWidth="1"/>
    <col min="8976" max="8976" width="18.7109375" style="365" customWidth="1"/>
    <col min="8977" max="8980" width="8.85546875" style="365"/>
    <col min="8981" max="8981" width="16.28515625" style="365" bestFit="1" customWidth="1"/>
    <col min="8982" max="9212" width="8.85546875" style="365"/>
    <col min="9213" max="9218" width="3.85546875" style="365" customWidth="1"/>
    <col min="9219" max="9219" width="7.7109375" style="365" customWidth="1"/>
    <col min="9220" max="9220" width="108.7109375" style="365" customWidth="1"/>
    <col min="9221" max="9221" width="24.85546875" style="365" bestFit="1" customWidth="1"/>
    <col min="9222" max="9222" width="14" style="365" customWidth="1"/>
    <col min="9223" max="9223" width="19.5703125" style="365" customWidth="1"/>
    <col min="9224" max="9224" width="18.7109375" style="365" customWidth="1"/>
    <col min="9225" max="9225" width="21.140625" style="365" customWidth="1"/>
    <col min="9226" max="9226" width="18.140625" style="365" customWidth="1"/>
    <col min="9227" max="9227" width="17.7109375" style="365" customWidth="1"/>
    <col min="9228" max="9228" width="24.42578125" style="365" customWidth="1"/>
    <col min="9229" max="9229" width="25.85546875" style="365" customWidth="1"/>
    <col min="9230" max="9230" width="19.5703125" style="365" customWidth="1"/>
    <col min="9231" max="9231" width="21.140625" style="365" customWidth="1"/>
    <col min="9232" max="9232" width="18.7109375" style="365" customWidth="1"/>
    <col min="9233" max="9236" width="8.85546875" style="365"/>
    <col min="9237" max="9237" width="16.28515625" style="365" bestFit="1" customWidth="1"/>
    <col min="9238" max="9468" width="8.85546875" style="365"/>
    <col min="9469" max="9474" width="3.85546875" style="365" customWidth="1"/>
    <col min="9475" max="9475" width="7.7109375" style="365" customWidth="1"/>
    <col min="9476" max="9476" width="108.7109375" style="365" customWidth="1"/>
    <col min="9477" max="9477" width="24.85546875" style="365" bestFit="1" customWidth="1"/>
    <col min="9478" max="9478" width="14" style="365" customWidth="1"/>
    <col min="9479" max="9479" width="19.5703125" style="365" customWidth="1"/>
    <col min="9480" max="9480" width="18.7109375" style="365" customWidth="1"/>
    <col min="9481" max="9481" width="21.140625" style="365" customWidth="1"/>
    <col min="9482" max="9482" width="18.140625" style="365" customWidth="1"/>
    <col min="9483" max="9483" width="17.7109375" style="365" customWidth="1"/>
    <col min="9484" max="9484" width="24.42578125" style="365" customWidth="1"/>
    <col min="9485" max="9485" width="25.85546875" style="365" customWidth="1"/>
    <col min="9486" max="9486" width="19.5703125" style="365" customWidth="1"/>
    <col min="9487" max="9487" width="21.140625" style="365" customWidth="1"/>
    <col min="9488" max="9488" width="18.7109375" style="365" customWidth="1"/>
    <col min="9489" max="9492" width="8.85546875" style="365"/>
    <col min="9493" max="9493" width="16.28515625" style="365" bestFit="1" customWidth="1"/>
    <col min="9494" max="9724" width="8.85546875" style="365"/>
    <col min="9725" max="9730" width="3.85546875" style="365" customWidth="1"/>
    <col min="9731" max="9731" width="7.7109375" style="365" customWidth="1"/>
    <col min="9732" max="9732" width="108.7109375" style="365" customWidth="1"/>
    <col min="9733" max="9733" width="24.85546875" style="365" bestFit="1" customWidth="1"/>
    <col min="9734" max="9734" width="14" style="365" customWidth="1"/>
    <col min="9735" max="9735" width="19.5703125" style="365" customWidth="1"/>
    <col min="9736" max="9736" width="18.7109375" style="365" customWidth="1"/>
    <col min="9737" max="9737" width="21.140625" style="365" customWidth="1"/>
    <col min="9738" max="9738" width="18.140625" style="365" customWidth="1"/>
    <col min="9739" max="9739" width="17.7109375" style="365" customWidth="1"/>
    <col min="9740" max="9740" width="24.42578125" style="365" customWidth="1"/>
    <col min="9741" max="9741" width="25.85546875" style="365" customWidth="1"/>
    <col min="9742" max="9742" width="19.5703125" style="365" customWidth="1"/>
    <col min="9743" max="9743" width="21.140625" style="365" customWidth="1"/>
    <col min="9744" max="9744" width="18.7109375" style="365" customWidth="1"/>
    <col min="9745" max="9748" width="8.85546875" style="365"/>
    <col min="9749" max="9749" width="16.28515625" style="365" bestFit="1" customWidth="1"/>
    <col min="9750" max="9980" width="8.85546875" style="365"/>
    <col min="9981" max="9986" width="3.85546875" style="365" customWidth="1"/>
    <col min="9987" max="9987" width="7.7109375" style="365" customWidth="1"/>
    <col min="9988" max="9988" width="108.7109375" style="365" customWidth="1"/>
    <col min="9989" max="9989" width="24.85546875" style="365" bestFit="1" customWidth="1"/>
    <col min="9990" max="9990" width="14" style="365" customWidth="1"/>
    <col min="9991" max="9991" width="19.5703125" style="365" customWidth="1"/>
    <col min="9992" max="9992" width="18.7109375" style="365" customWidth="1"/>
    <col min="9993" max="9993" width="21.140625" style="365" customWidth="1"/>
    <col min="9994" max="9994" width="18.140625" style="365" customWidth="1"/>
    <col min="9995" max="9995" width="17.7109375" style="365" customWidth="1"/>
    <col min="9996" max="9996" width="24.42578125" style="365" customWidth="1"/>
    <col min="9997" max="9997" width="25.85546875" style="365" customWidth="1"/>
    <col min="9998" max="9998" width="19.5703125" style="365" customWidth="1"/>
    <col min="9999" max="9999" width="21.140625" style="365" customWidth="1"/>
    <col min="10000" max="10000" width="18.7109375" style="365" customWidth="1"/>
    <col min="10001" max="10004" width="8.85546875" style="365"/>
    <col min="10005" max="10005" width="16.28515625" style="365" bestFit="1" customWidth="1"/>
    <col min="10006" max="10236" width="8.85546875" style="365"/>
    <col min="10237" max="10242" width="3.85546875" style="365" customWidth="1"/>
    <col min="10243" max="10243" width="7.7109375" style="365" customWidth="1"/>
    <col min="10244" max="10244" width="108.7109375" style="365" customWidth="1"/>
    <col min="10245" max="10245" width="24.85546875" style="365" bestFit="1" customWidth="1"/>
    <col min="10246" max="10246" width="14" style="365" customWidth="1"/>
    <col min="10247" max="10247" width="19.5703125" style="365" customWidth="1"/>
    <col min="10248" max="10248" width="18.7109375" style="365" customWidth="1"/>
    <col min="10249" max="10249" width="21.140625" style="365" customWidth="1"/>
    <col min="10250" max="10250" width="18.140625" style="365" customWidth="1"/>
    <col min="10251" max="10251" width="17.7109375" style="365" customWidth="1"/>
    <col min="10252" max="10252" width="24.42578125" style="365" customWidth="1"/>
    <col min="10253" max="10253" width="25.85546875" style="365" customWidth="1"/>
    <col min="10254" max="10254" width="19.5703125" style="365" customWidth="1"/>
    <col min="10255" max="10255" width="21.140625" style="365" customWidth="1"/>
    <col min="10256" max="10256" width="18.7109375" style="365" customWidth="1"/>
    <col min="10257" max="10260" width="8.85546875" style="365"/>
    <col min="10261" max="10261" width="16.28515625" style="365" bestFit="1" customWidth="1"/>
    <col min="10262" max="10492" width="8.85546875" style="365"/>
    <col min="10493" max="10498" width="3.85546875" style="365" customWidth="1"/>
    <col min="10499" max="10499" width="7.7109375" style="365" customWidth="1"/>
    <col min="10500" max="10500" width="108.7109375" style="365" customWidth="1"/>
    <col min="10501" max="10501" width="24.85546875" style="365" bestFit="1" customWidth="1"/>
    <col min="10502" max="10502" width="14" style="365" customWidth="1"/>
    <col min="10503" max="10503" width="19.5703125" style="365" customWidth="1"/>
    <col min="10504" max="10504" width="18.7109375" style="365" customWidth="1"/>
    <col min="10505" max="10505" width="21.140625" style="365" customWidth="1"/>
    <col min="10506" max="10506" width="18.140625" style="365" customWidth="1"/>
    <col min="10507" max="10507" width="17.7109375" style="365" customWidth="1"/>
    <col min="10508" max="10508" width="24.42578125" style="365" customWidth="1"/>
    <col min="10509" max="10509" width="25.85546875" style="365" customWidth="1"/>
    <col min="10510" max="10510" width="19.5703125" style="365" customWidth="1"/>
    <col min="10511" max="10511" width="21.140625" style="365" customWidth="1"/>
    <col min="10512" max="10512" width="18.7109375" style="365" customWidth="1"/>
    <col min="10513" max="10516" width="8.85546875" style="365"/>
    <col min="10517" max="10517" width="16.28515625" style="365" bestFit="1" customWidth="1"/>
    <col min="10518" max="10748" width="8.85546875" style="365"/>
    <col min="10749" max="10754" width="3.85546875" style="365" customWidth="1"/>
    <col min="10755" max="10755" width="7.7109375" style="365" customWidth="1"/>
    <col min="10756" max="10756" width="108.7109375" style="365" customWidth="1"/>
    <col min="10757" max="10757" width="24.85546875" style="365" bestFit="1" customWidth="1"/>
    <col min="10758" max="10758" width="14" style="365" customWidth="1"/>
    <col min="10759" max="10759" width="19.5703125" style="365" customWidth="1"/>
    <col min="10760" max="10760" width="18.7109375" style="365" customWidth="1"/>
    <col min="10761" max="10761" width="21.140625" style="365" customWidth="1"/>
    <col min="10762" max="10762" width="18.140625" style="365" customWidth="1"/>
    <col min="10763" max="10763" width="17.7109375" style="365" customWidth="1"/>
    <col min="10764" max="10764" width="24.42578125" style="365" customWidth="1"/>
    <col min="10765" max="10765" width="25.85546875" style="365" customWidth="1"/>
    <col min="10766" max="10766" width="19.5703125" style="365" customWidth="1"/>
    <col min="10767" max="10767" width="21.140625" style="365" customWidth="1"/>
    <col min="10768" max="10768" width="18.7109375" style="365" customWidth="1"/>
    <col min="10769" max="10772" width="8.85546875" style="365"/>
    <col min="10773" max="10773" width="16.28515625" style="365" bestFit="1" customWidth="1"/>
    <col min="10774" max="11004" width="8.85546875" style="365"/>
    <col min="11005" max="11010" width="3.85546875" style="365" customWidth="1"/>
    <col min="11011" max="11011" width="7.7109375" style="365" customWidth="1"/>
    <col min="11012" max="11012" width="108.7109375" style="365" customWidth="1"/>
    <col min="11013" max="11013" width="24.85546875" style="365" bestFit="1" customWidth="1"/>
    <col min="11014" max="11014" width="14" style="365" customWidth="1"/>
    <col min="11015" max="11015" width="19.5703125" style="365" customWidth="1"/>
    <col min="11016" max="11016" width="18.7109375" style="365" customWidth="1"/>
    <col min="11017" max="11017" width="21.140625" style="365" customWidth="1"/>
    <col min="11018" max="11018" width="18.140625" style="365" customWidth="1"/>
    <col min="11019" max="11019" width="17.7109375" style="365" customWidth="1"/>
    <col min="11020" max="11020" width="24.42578125" style="365" customWidth="1"/>
    <col min="11021" max="11021" width="25.85546875" style="365" customWidth="1"/>
    <col min="11022" max="11022" width="19.5703125" style="365" customWidth="1"/>
    <col min="11023" max="11023" width="21.140625" style="365" customWidth="1"/>
    <col min="11024" max="11024" width="18.7109375" style="365" customWidth="1"/>
    <col min="11025" max="11028" width="8.85546875" style="365"/>
    <col min="11029" max="11029" width="16.28515625" style="365" bestFit="1" customWidth="1"/>
    <col min="11030" max="11260" width="8.85546875" style="365"/>
    <col min="11261" max="11266" width="3.85546875" style="365" customWidth="1"/>
    <col min="11267" max="11267" width="7.7109375" style="365" customWidth="1"/>
    <col min="11268" max="11268" width="108.7109375" style="365" customWidth="1"/>
    <col min="11269" max="11269" width="24.85546875" style="365" bestFit="1" customWidth="1"/>
    <col min="11270" max="11270" width="14" style="365" customWidth="1"/>
    <col min="11271" max="11271" width="19.5703125" style="365" customWidth="1"/>
    <col min="11272" max="11272" width="18.7109375" style="365" customWidth="1"/>
    <col min="11273" max="11273" width="21.140625" style="365" customWidth="1"/>
    <col min="11274" max="11274" width="18.140625" style="365" customWidth="1"/>
    <col min="11275" max="11275" width="17.7109375" style="365" customWidth="1"/>
    <col min="11276" max="11276" width="24.42578125" style="365" customWidth="1"/>
    <col min="11277" max="11277" width="25.85546875" style="365" customWidth="1"/>
    <col min="11278" max="11278" width="19.5703125" style="365" customWidth="1"/>
    <col min="11279" max="11279" width="21.140625" style="365" customWidth="1"/>
    <col min="11280" max="11280" width="18.7109375" style="365" customWidth="1"/>
    <col min="11281" max="11284" width="8.85546875" style="365"/>
    <col min="11285" max="11285" width="16.28515625" style="365" bestFit="1" customWidth="1"/>
    <col min="11286" max="11516" width="8.85546875" style="365"/>
    <col min="11517" max="11522" width="3.85546875" style="365" customWidth="1"/>
    <col min="11523" max="11523" width="7.7109375" style="365" customWidth="1"/>
    <col min="11524" max="11524" width="108.7109375" style="365" customWidth="1"/>
    <col min="11525" max="11525" width="24.85546875" style="365" bestFit="1" customWidth="1"/>
    <col min="11526" max="11526" width="14" style="365" customWidth="1"/>
    <col min="11527" max="11527" width="19.5703125" style="365" customWidth="1"/>
    <col min="11528" max="11528" width="18.7109375" style="365" customWidth="1"/>
    <col min="11529" max="11529" width="21.140625" style="365" customWidth="1"/>
    <col min="11530" max="11530" width="18.140625" style="365" customWidth="1"/>
    <col min="11531" max="11531" width="17.7109375" style="365" customWidth="1"/>
    <col min="11532" max="11532" width="24.42578125" style="365" customWidth="1"/>
    <col min="11533" max="11533" width="25.85546875" style="365" customWidth="1"/>
    <col min="11534" max="11534" width="19.5703125" style="365" customWidth="1"/>
    <col min="11535" max="11535" width="21.140625" style="365" customWidth="1"/>
    <col min="11536" max="11536" width="18.7109375" style="365" customWidth="1"/>
    <col min="11537" max="11540" width="8.85546875" style="365"/>
    <col min="11541" max="11541" width="16.28515625" style="365" bestFit="1" customWidth="1"/>
    <col min="11542" max="11772" width="8.85546875" style="365"/>
    <col min="11773" max="11778" width="3.85546875" style="365" customWidth="1"/>
    <col min="11779" max="11779" width="7.7109375" style="365" customWidth="1"/>
    <col min="11780" max="11780" width="108.7109375" style="365" customWidth="1"/>
    <col min="11781" max="11781" width="24.85546875" style="365" bestFit="1" customWidth="1"/>
    <col min="11782" max="11782" width="14" style="365" customWidth="1"/>
    <col min="11783" max="11783" width="19.5703125" style="365" customWidth="1"/>
    <col min="11784" max="11784" width="18.7109375" style="365" customWidth="1"/>
    <col min="11785" max="11785" width="21.140625" style="365" customWidth="1"/>
    <col min="11786" max="11786" width="18.140625" style="365" customWidth="1"/>
    <col min="11787" max="11787" width="17.7109375" style="365" customWidth="1"/>
    <col min="11788" max="11788" width="24.42578125" style="365" customWidth="1"/>
    <col min="11789" max="11789" width="25.85546875" style="365" customWidth="1"/>
    <col min="11790" max="11790" width="19.5703125" style="365" customWidth="1"/>
    <col min="11791" max="11791" width="21.140625" style="365" customWidth="1"/>
    <col min="11792" max="11792" width="18.7109375" style="365" customWidth="1"/>
    <col min="11793" max="11796" width="8.85546875" style="365"/>
    <col min="11797" max="11797" width="16.28515625" style="365" bestFit="1" customWidth="1"/>
    <col min="11798" max="12028" width="8.85546875" style="365"/>
    <col min="12029" max="12034" width="3.85546875" style="365" customWidth="1"/>
    <col min="12035" max="12035" width="7.7109375" style="365" customWidth="1"/>
    <col min="12036" max="12036" width="108.7109375" style="365" customWidth="1"/>
    <col min="12037" max="12037" width="24.85546875" style="365" bestFit="1" customWidth="1"/>
    <col min="12038" max="12038" width="14" style="365" customWidth="1"/>
    <col min="12039" max="12039" width="19.5703125" style="365" customWidth="1"/>
    <col min="12040" max="12040" width="18.7109375" style="365" customWidth="1"/>
    <col min="12041" max="12041" width="21.140625" style="365" customWidth="1"/>
    <col min="12042" max="12042" width="18.140625" style="365" customWidth="1"/>
    <col min="12043" max="12043" width="17.7109375" style="365" customWidth="1"/>
    <col min="12044" max="12044" width="24.42578125" style="365" customWidth="1"/>
    <col min="12045" max="12045" width="25.85546875" style="365" customWidth="1"/>
    <col min="12046" max="12046" width="19.5703125" style="365" customWidth="1"/>
    <col min="12047" max="12047" width="21.140625" style="365" customWidth="1"/>
    <col min="12048" max="12048" width="18.7109375" style="365" customWidth="1"/>
    <col min="12049" max="12052" width="8.85546875" style="365"/>
    <col min="12053" max="12053" width="16.28515625" style="365" bestFit="1" customWidth="1"/>
    <col min="12054" max="12284" width="8.85546875" style="365"/>
    <col min="12285" max="12290" width="3.85546875" style="365" customWidth="1"/>
    <col min="12291" max="12291" width="7.7109375" style="365" customWidth="1"/>
    <col min="12292" max="12292" width="108.7109375" style="365" customWidth="1"/>
    <col min="12293" max="12293" width="24.85546875" style="365" bestFit="1" customWidth="1"/>
    <col min="12294" max="12294" width="14" style="365" customWidth="1"/>
    <col min="12295" max="12295" width="19.5703125" style="365" customWidth="1"/>
    <col min="12296" max="12296" width="18.7109375" style="365" customWidth="1"/>
    <col min="12297" max="12297" width="21.140625" style="365" customWidth="1"/>
    <col min="12298" max="12298" width="18.140625" style="365" customWidth="1"/>
    <col min="12299" max="12299" width="17.7109375" style="365" customWidth="1"/>
    <col min="12300" max="12300" width="24.42578125" style="365" customWidth="1"/>
    <col min="12301" max="12301" width="25.85546875" style="365" customWidth="1"/>
    <col min="12302" max="12302" width="19.5703125" style="365" customWidth="1"/>
    <col min="12303" max="12303" width="21.140625" style="365" customWidth="1"/>
    <col min="12304" max="12304" width="18.7109375" style="365" customWidth="1"/>
    <col min="12305" max="12308" width="8.85546875" style="365"/>
    <col min="12309" max="12309" width="16.28515625" style="365" bestFit="1" customWidth="1"/>
    <col min="12310" max="12540" width="8.85546875" style="365"/>
    <col min="12541" max="12546" width="3.85546875" style="365" customWidth="1"/>
    <col min="12547" max="12547" width="7.7109375" style="365" customWidth="1"/>
    <col min="12548" max="12548" width="108.7109375" style="365" customWidth="1"/>
    <col min="12549" max="12549" width="24.85546875" style="365" bestFit="1" customWidth="1"/>
    <col min="12550" max="12550" width="14" style="365" customWidth="1"/>
    <col min="12551" max="12551" width="19.5703125" style="365" customWidth="1"/>
    <col min="12552" max="12552" width="18.7109375" style="365" customWidth="1"/>
    <col min="12553" max="12553" width="21.140625" style="365" customWidth="1"/>
    <col min="12554" max="12554" width="18.140625" style="365" customWidth="1"/>
    <col min="12555" max="12555" width="17.7109375" style="365" customWidth="1"/>
    <col min="12556" max="12556" width="24.42578125" style="365" customWidth="1"/>
    <col min="12557" max="12557" width="25.85546875" style="365" customWidth="1"/>
    <col min="12558" max="12558" width="19.5703125" style="365" customWidth="1"/>
    <col min="12559" max="12559" width="21.140625" style="365" customWidth="1"/>
    <col min="12560" max="12560" width="18.7109375" style="365" customWidth="1"/>
    <col min="12561" max="12564" width="8.85546875" style="365"/>
    <col min="12565" max="12565" width="16.28515625" style="365" bestFit="1" customWidth="1"/>
    <col min="12566" max="12796" width="8.85546875" style="365"/>
    <col min="12797" max="12802" width="3.85546875" style="365" customWidth="1"/>
    <col min="12803" max="12803" width="7.7109375" style="365" customWidth="1"/>
    <col min="12804" max="12804" width="108.7109375" style="365" customWidth="1"/>
    <col min="12805" max="12805" width="24.85546875" style="365" bestFit="1" customWidth="1"/>
    <col min="12806" max="12806" width="14" style="365" customWidth="1"/>
    <col min="12807" max="12807" width="19.5703125" style="365" customWidth="1"/>
    <col min="12808" max="12808" width="18.7109375" style="365" customWidth="1"/>
    <col min="12809" max="12809" width="21.140625" style="365" customWidth="1"/>
    <col min="12810" max="12810" width="18.140625" style="365" customWidth="1"/>
    <col min="12811" max="12811" width="17.7109375" style="365" customWidth="1"/>
    <col min="12812" max="12812" width="24.42578125" style="365" customWidth="1"/>
    <col min="12813" max="12813" width="25.85546875" style="365" customWidth="1"/>
    <col min="12814" max="12814" width="19.5703125" style="365" customWidth="1"/>
    <col min="12815" max="12815" width="21.140625" style="365" customWidth="1"/>
    <col min="12816" max="12816" width="18.7109375" style="365" customWidth="1"/>
    <col min="12817" max="12820" width="8.85546875" style="365"/>
    <col min="12821" max="12821" width="16.28515625" style="365" bestFit="1" customWidth="1"/>
    <col min="12822" max="13052" width="8.85546875" style="365"/>
    <col min="13053" max="13058" width="3.85546875" style="365" customWidth="1"/>
    <col min="13059" max="13059" width="7.7109375" style="365" customWidth="1"/>
    <col min="13060" max="13060" width="108.7109375" style="365" customWidth="1"/>
    <col min="13061" max="13061" width="24.85546875" style="365" bestFit="1" customWidth="1"/>
    <col min="13062" max="13062" width="14" style="365" customWidth="1"/>
    <col min="13063" max="13063" width="19.5703125" style="365" customWidth="1"/>
    <col min="13064" max="13064" width="18.7109375" style="365" customWidth="1"/>
    <col min="13065" max="13065" width="21.140625" style="365" customWidth="1"/>
    <col min="13066" max="13066" width="18.140625" style="365" customWidth="1"/>
    <col min="13067" max="13067" width="17.7109375" style="365" customWidth="1"/>
    <col min="13068" max="13068" width="24.42578125" style="365" customWidth="1"/>
    <col min="13069" max="13069" width="25.85546875" style="365" customWidth="1"/>
    <col min="13070" max="13070" width="19.5703125" style="365" customWidth="1"/>
    <col min="13071" max="13071" width="21.140625" style="365" customWidth="1"/>
    <col min="13072" max="13072" width="18.7109375" style="365" customWidth="1"/>
    <col min="13073" max="13076" width="8.85546875" style="365"/>
    <col min="13077" max="13077" width="16.28515625" style="365" bestFit="1" customWidth="1"/>
    <col min="13078" max="13308" width="8.85546875" style="365"/>
    <col min="13309" max="13314" width="3.85546875" style="365" customWidth="1"/>
    <col min="13315" max="13315" width="7.7109375" style="365" customWidth="1"/>
    <col min="13316" max="13316" width="108.7109375" style="365" customWidth="1"/>
    <col min="13317" max="13317" width="24.85546875" style="365" bestFit="1" customWidth="1"/>
    <col min="13318" max="13318" width="14" style="365" customWidth="1"/>
    <col min="13319" max="13319" width="19.5703125" style="365" customWidth="1"/>
    <col min="13320" max="13320" width="18.7109375" style="365" customWidth="1"/>
    <col min="13321" max="13321" width="21.140625" style="365" customWidth="1"/>
    <col min="13322" max="13322" width="18.140625" style="365" customWidth="1"/>
    <col min="13323" max="13323" width="17.7109375" style="365" customWidth="1"/>
    <col min="13324" max="13324" width="24.42578125" style="365" customWidth="1"/>
    <col min="13325" max="13325" width="25.85546875" style="365" customWidth="1"/>
    <col min="13326" max="13326" width="19.5703125" style="365" customWidth="1"/>
    <col min="13327" max="13327" width="21.140625" style="365" customWidth="1"/>
    <col min="13328" max="13328" width="18.7109375" style="365" customWidth="1"/>
    <col min="13329" max="13332" width="8.85546875" style="365"/>
    <col min="13333" max="13333" width="16.28515625" style="365" bestFit="1" customWidth="1"/>
    <col min="13334" max="13564" width="8.85546875" style="365"/>
    <col min="13565" max="13570" width="3.85546875" style="365" customWidth="1"/>
    <col min="13571" max="13571" width="7.7109375" style="365" customWidth="1"/>
    <col min="13572" max="13572" width="108.7109375" style="365" customWidth="1"/>
    <col min="13573" max="13573" width="24.85546875" style="365" bestFit="1" customWidth="1"/>
    <col min="13574" max="13574" width="14" style="365" customWidth="1"/>
    <col min="13575" max="13575" width="19.5703125" style="365" customWidth="1"/>
    <col min="13576" max="13576" width="18.7109375" style="365" customWidth="1"/>
    <col min="13577" max="13577" width="21.140625" style="365" customWidth="1"/>
    <col min="13578" max="13578" width="18.140625" style="365" customWidth="1"/>
    <col min="13579" max="13579" width="17.7109375" style="365" customWidth="1"/>
    <col min="13580" max="13580" width="24.42578125" style="365" customWidth="1"/>
    <col min="13581" max="13581" width="25.85546875" style="365" customWidth="1"/>
    <col min="13582" max="13582" width="19.5703125" style="365" customWidth="1"/>
    <col min="13583" max="13583" width="21.140625" style="365" customWidth="1"/>
    <col min="13584" max="13584" width="18.7109375" style="365" customWidth="1"/>
    <col min="13585" max="13588" width="8.85546875" style="365"/>
    <col min="13589" max="13589" width="16.28515625" style="365" bestFit="1" customWidth="1"/>
    <col min="13590" max="13820" width="8.85546875" style="365"/>
    <col min="13821" max="13826" width="3.85546875" style="365" customWidth="1"/>
    <col min="13827" max="13827" width="7.7109375" style="365" customWidth="1"/>
    <col min="13828" max="13828" width="108.7109375" style="365" customWidth="1"/>
    <col min="13829" max="13829" width="24.85546875" style="365" bestFit="1" customWidth="1"/>
    <col min="13830" max="13830" width="14" style="365" customWidth="1"/>
    <col min="13831" max="13831" width="19.5703125" style="365" customWidth="1"/>
    <col min="13832" max="13832" width="18.7109375" style="365" customWidth="1"/>
    <col min="13833" max="13833" width="21.140625" style="365" customWidth="1"/>
    <col min="13834" max="13834" width="18.140625" style="365" customWidth="1"/>
    <col min="13835" max="13835" width="17.7109375" style="365" customWidth="1"/>
    <col min="13836" max="13836" width="24.42578125" style="365" customWidth="1"/>
    <col min="13837" max="13837" width="25.85546875" style="365" customWidth="1"/>
    <col min="13838" max="13838" width="19.5703125" style="365" customWidth="1"/>
    <col min="13839" max="13839" width="21.140625" style="365" customWidth="1"/>
    <col min="13840" max="13840" width="18.7109375" style="365" customWidth="1"/>
    <col min="13841" max="13844" width="8.85546875" style="365"/>
    <col min="13845" max="13845" width="16.28515625" style="365" bestFit="1" customWidth="1"/>
    <col min="13846" max="14076" width="8.85546875" style="365"/>
    <col min="14077" max="14082" width="3.85546875" style="365" customWidth="1"/>
    <col min="14083" max="14083" width="7.7109375" style="365" customWidth="1"/>
    <col min="14084" max="14084" width="108.7109375" style="365" customWidth="1"/>
    <col min="14085" max="14085" width="24.85546875" style="365" bestFit="1" customWidth="1"/>
    <col min="14086" max="14086" width="14" style="365" customWidth="1"/>
    <col min="14087" max="14087" width="19.5703125" style="365" customWidth="1"/>
    <col min="14088" max="14088" width="18.7109375" style="365" customWidth="1"/>
    <col min="14089" max="14089" width="21.140625" style="365" customWidth="1"/>
    <col min="14090" max="14090" width="18.140625" style="365" customWidth="1"/>
    <col min="14091" max="14091" width="17.7109375" style="365" customWidth="1"/>
    <col min="14092" max="14092" width="24.42578125" style="365" customWidth="1"/>
    <col min="14093" max="14093" width="25.85546875" style="365" customWidth="1"/>
    <col min="14094" max="14094" width="19.5703125" style="365" customWidth="1"/>
    <col min="14095" max="14095" width="21.140625" style="365" customWidth="1"/>
    <col min="14096" max="14096" width="18.7109375" style="365" customWidth="1"/>
    <col min="14097" max="14100" width="8.85546875" style="365"/>
    <col min="14101" max="14101" width="16.28515625" style="365" bestFit="1" customWidth="1"/>
    <col min="14102" max="14332" width="8.85546875" style="365"/>
    <col min="14333" max="14338" width="3.85546875" style="365" customWidth="1"/>
    <col min="14339" max="14339" width="7.7109375" style="365" customWidth="1"/>
    <col min="14340" max="14340" width="108.7109375" style="365" customWidth="1"/>
    <col min="14341" max="14341" width="24.85546875" style="365" bestFit="1" customWidth="1"/>
    <col min="14342" max="14342" width="14" style="365" customWidth="1"/>
    <col min="14343" max="14343" width="19.5703125" style="365" customWidth="1"/>
    <col min="14344" max="14344" width="18.7109375" style="365" customWidth="1"/>
    <col min="14345" max="14345" width="21.140625" style="365" customWidth="1"/>
    <col min="14346" max="14346" width="18.140625" style="365" customWidth="1"/>
    <col min="14347" max="14347" width="17.7109375" style="365" customWidth="1"/>
    <col min="14348" max="14348" width="24.42578125" style="365" customWidth="1"/>
    <col min="14349" max="14349" width="25.85546875" style="365" customWidth="1"/>
    <col min="14350" max="14350" width="19.5703125" style="365" customWidth="1"/>
    <col min="14351" max="14351" width="21.140625" style="365" customWidth="1"/>
    <col min="14352" max="14352" width="18.7109375" style="365" customWidth="1"/>
    <col min="14353" max="14356" width="8.85546875" style="365"/>
    <col min="14357" max="14357" width="16.28515625" style="365" bestFit="1" customWidth="1"/>
    <col min="14358" max="14588" width="8.85546875" style="365"/>
    <col min="14589" max="14594" width="3.85546875" style="365" customWidth="1"/>
    <col min="14595" max="14595" width="7.7109375" style="365" customWidth="1"/>
    <col min="14596" max="14596" width="108.7109375" style="365" customWidth="1"/>
    <col min="14597" max="14597" width="24.85546875" style="365" bestFit="1" customWidth="1"/>
    <col min="14598" max="14598" width="14" style="365" customWidth="1"/>
    <col min="14599" max="14599" width="19.5703125" style="365" customWidth="1"/>
    <col min="14600" max="14600" width="18.7109375" style="365" customWidth="1"/>
    <col min="14601" max="14601" width="21.140625" style="365" customWidth="1"/>
    <col min="14602" max="14602" width="18.140625" style="365" customWidth="1"/>
    <col min="14603" max="14603" width="17.7109375" style="365" customWidth="1"/>
    <col min="14604" max="14604" width="24.42578125" style="365" customWidth="1"/>
    <col min="14605" max="14605" width="25.85546875" style="365" customWidth="1"/>
    <col min="14606" max="14606" width="19.5703125" style="365" customWidth="1"/>
    <col min="14607" max="14607" width="21.140625" style="365" customWidth="1"/>
    <col min="14608" max="14608" width="18.7109375" style="365" customWidth="1"/>
    <col min="14609" max="14612" width="8.85546875" style="365"/>
    <col min="14613" max="14613" width="16.28515625" style="365" bestFit="1" customWidth="1"/>
    <col min="14614" max="14844" width="8.85546875" style="365"/>
    <col min="14845" max="14850" width="3.85546875" style="365" customWidth="1"/>
    <col min="14851" max="14851" width="7.7109375" style="365" customWidth="1"/>
    <col min="14852" max="14852" width="108.7109375" style="365" customWidth="1"/>
    <col min="14853" max="14853" width="24.85546875" style="365" bestFit="1" customWidth="1"/>
    <col min="14854" max="14854" width="14" style="365" customWidth="1"/>
    <col min="14855" max="14855" width="19.5703125" style="365" customWidth="1"/>
    <col min="14856" max="14856" width="18.7109375" style="365" customWidth="1"/>
    <col min="14857" max="14857" width="21.140625" style="365" customWidth="1"/>
    <col min="14858" max="14858" width="18.140625" style="365" customWidth="1"/>
    <col min="14859" max="14859" width="17.7109375" style="365" customWidth="1"/>
    <col min="14860" max="14860" width="24.42578125" style="365" customWidth="1"/>
    <col min="14861" max="14861" width="25.85546875" style="365" customWidth="1"/>
    <col min="14862" max="14862" width="19.5703125" style="365" customWidth="1"/>
    <col min="14863" max="14863" width="21.140625" style="365" customWidth="1"/>
    <col min="14864" max="14864" width="18.7109375" style="365" customWidth="1"/>
    <col min="14865" max="14868" width="8.85546875" style="365"/>
    <col min="14869" max="14869" width="16.28515625" style="365" bestFit="1" customWidth="1"/>
    <col min="14870" max="15100" width="8.85546875" style="365"/>
    <col min="15101" max="15106" width="3.85546875" style="365" customWidth="1"/>
    <col min="15107" max="15107" width="7.7109375" style="365" customWidth="1"/>
    <col min="15108" max="15108" width="108.7109375" style="365" customWidth="1"/>
    <col min="15109" max="15109" width="24.85546875" style="365" bestFit="1" customWidth="1"/>
    <col min="15110" max="15110" width="14" style="365" customWidth="1"/>
    <col min="15111" max="15111" width="19.5703125" style="365" customWidth="1"/>
    <col min="15112" max="15112" width="18.7109375" style="365" customWidth="1"/>
    <col min="15113" max="15113" width="21.140625" style="365" customWidth="1"/>
    <col min="15114" max="15114" width="18.140625" style="365" customWidth="1"/>
    <col min="15115" max="15115" width="17.7109375" style="365" customWidth="1"/>
    <col min="15116" max="15116" width="24.42578125" style="365" customWidth="1"/>
    <col min="15117" max="15117" width="25.85546875" style="365" customWidth="1"/>
    <col min="15118" max="15118" width="19.5703125" style="365" customWidth="1"/>
    <col min="15119" max="15119" width="21.140625" style="365" customWidth="1"/>
    <col min="15120" max="15120" width="18.7109375" style="365" customWidth="1"/>
    <col min="15121" max="15124" width="8.85546875" style="365"/>
    <col min="15125" max="15125" width="16.28515625" style="365" bestFit="1" customWidth="1"/>
    <col min="15126" max="15356" width="8.85546875" style="365"/>
    <col min="15357" max="15362" width="3.85546875" style="365" customWidth="1"/>
    <col min="15363" max="15363" width="7.7109375" style="365" customWidth="1"/>
    <col min="15364" max="15364" width="108.7109375" style="365" customWidth="1"/>
    <col min="15365" max="15365" width="24.85546875" style="365" bestFit="1" customWidth="1"/>
    <col min="15366" max="15366" width="14" style="365" customWidth="1"/>
    <col min="15367" max="15367" width="19.5703125" style="365" customWidth="1"/>
    <col min="15368" max="15368" width="18.7109375" style="365" customWidth="1"/>
    <col min="15369" max="15369" width="21.140625" style="365" customWidth="1"/>
    <col min="15370" max="15370" width="18.140625" style="365" customWidth="1"/>
    <col min="15371" max="15371" width="17.7109375" style="365" customWidth="1"/>
    <col min="15372" max="15372" width="24.42578125" style="365" customWidth="1"/>
    <col min="15373" max="15373" width="25.85546875" style="365" customWidth="1"/>
    <col min="15374" max="15374" width="19.5703125" style="365" customWidth="1"/>
    <col min="15375" max="15375" width="21.140625" style="365" customWidth="1"/>
    <col min="15376" max="15376" width="18.7109375" style="365" customWidth="1"/>
    <col min="15377" max="15380" width="8.85546875" style="365"/>
    <col min="15381" max="15381" width="16.28515625" style="365" bestFit="1" customWidth="1"/>
    <col min="15382" max="15612" width="8.85546875" style="365"/>
    <col min="15613" max="15618" width="3.85546875" style="365" customWidth="1"/>
    <col min="15619" max="15619" width="7.7109375" style="365" customWidth="1"/>
    <col min="15620" max="15620" width="108.7109375" style="365" customWidth="1"/>
    <col min="15621" max="15621" width="24.85546875" style="365" bestFit="1" customWidth="1"/>
    <col min="15622" max="15622" width="14" style="365" customWidth="1"/>
    <col min="15623" max="15623" width="19.5703125" style="365" customWidth="1"/>
    <col min="15624" max="15624" width="18.7109375" style="365" customWidth="1"/>
    <col min="15625" max="15625" width="21.140625" style="365" customWidth="1"/>
    <col min="15626" max="15626" width="18.140625" style="365" customWidth="1"/>
    <col min="15627" max="15627" width="17.7109375" style="365" customWidth="1"/>
    <col min="15628" max="15628" width="24.42578125" style="365" customWidth="1"/>
    <col min="15629" max="15629" width="25.85546875" style="365" customWidth="1"/>
    <col min="15630" max="15630" width="19.5703125" style="365" customWidth="1"/>
    <col min="15631" max="15631" width="21.140625" style="365" customWidth="1"/>
    <col min="15632" max="15632" width="18.7109375" style="365" customWidth="1"/>
    <col min="15633" max="15636" width="8.85546875" style="365"/>
    <col min="15637" max="15637" width="16.28515625" style="365" bestFit="1" customWidth="1"/>
    <col min="15638" max="15868" width="8.85546875" style="365"/>
    <col min="15869" max="15874" width="3.85546875" style="365" customWidth="1"/>
    <col min="15875" max="15875" width="7.7109375" style="365" customWidth="1"/>
    <col min="15876" max="15876" width="108.7109375" style="365" customWidth="1"/>
    <col min="15877" max="15877" width="24.85546875" style="365" bestFit="1" customWidth="1"/>
    <col min="15878" max="15878" width="14" style="365" customWidth="1"/>
    <col min="15879" max="15879" width="19.5703125" style="365" customWidth="1"/>
    <col min="15880" max="15880" width="18.7109375" style="365" customWidth="1"/>
    <col min="15881" max="15881" width="21.140625" style="365" customWidth="1"/>
    <col min="15882" max="15882" width="18.140625" style="365" customWidth="1"/>
    <col min="15883" max="15883" width="17.7109375" style="365" customWidth="1"/>
    <col min="15884" max="15884" width="24.42578125" style="365" customWidth="1"/>
    <col min="15885" max="15885" width="25.85546875" style="365" customWidth="1"/>
    <col min="15886" max="15886" width="19.5703125" style="365" customWidth="1"/>
    <col min="15887" max="15887" width="21.140625" style="365" customWidth="1"/>
    <col min="15888" max="15888" width="18.7109375" style="365" customWidth="1"/>
    <col min="15889" max="15892" width="8.85546875" style="365"/>
    <col min="15893" max="15893" width="16.28515625" style="365" bestFit="1" customWidth="1"/>
    <col min="15894" max="16124" width="8.85546875" style="365"/>
    <col min="16125" max="16130" width="3.85546875" style="365" customWidth="1"/>
    <col min="16131" max="16131" width="7.7109375" style="365" customWidth="1"/>
    <col min="16132" max="16132" width="108.7109375" style="365" customWidth="1"/>
    <col min="16133" max="16133" width="24.85546875" style="365" bestFit="1" customWidth="1"/>
    <col min="16134" max="16134" width="14" style="365" customWidth="1"/>
    <col min="16135" max="16135" width="19.5703125" style="365" customWidth="1"/>
    <col min="16136" max="16136" width="18.7109375" style="365" customWidth="1"/>
    <col min="16137" max="16137" width="21.140625" style="365" customWidth="1"/>
    <col min="16138" max="16138" width="18.140625" style="365" customWidth="1"/>
    <col min="16139" max="16139" width="17.7109375" style="365" customWidth="1"/>
    <col min="16140" max="16140" width="24.42578125" style="365" customWidth="1"/>
    <col min="16141" max="16141" width="25.85546875" style="365" customWidth="1"/>
    <col min="16142" max="16142" width="19.5703125" style="365" customWidth="1"/>
    <col min="16143" max="16143" width="21.140625" style="365" customWidth="1"/>
    <col min="16144" max="16144" width="18.7109375" style="365" customWidth="1"/>
    <col min="16145" max="16148" width="8.85546875" style="365"/>
    <col min="16149" max="16149" width="16.28515625" style="365" bestFit="1" customWidth="1"/>
    <col min="16150" max="16384" width="8.85546875" style="365"/>
  </cols>
  <sheetData>
    <row r="1" spans="1:21" ht="26.25">
      <c r="A1" s="616" t="s">
        <v>1133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</row>
    <row r="2" spans="1:21" ht="26.25">
      <c r="A2" s="771" t="s">
        <v>1125</v>
      </c>
      <c r="B2" s="771"/>
      <c r="C2" s="771"/>
      <c r="D2" s="771"/>
      <c r="E2" s="771"/>
      <c r="F2" s="616"/>
      <c r="G2" s="617"/>
      <c r="H2" s="617"/>
      <c r="I2" s="617"/>
      <c r="J2" s="617"/>
      <c r="K2" s="617"/>
      <c r="L2" s="617"/>
      <c r="M2" s="617"/>
      <c r="N2" s="617"/>
      <c r="O2" s="617"/>
      <c r="P2" s="617"/>
    </row>
    <row r="3" spans="1:21" ht="26.25">
      <c r="A3" s="771" t="s">
        <v>1007</v>
      </c>
      <c r="B3" s="771"/>
      <c r="C3" s="771"/>
      <c r="D3" s="771"/>
      <c r="E3" s="771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</row>
    <row r="4" spans="1:21" ht="26.25">
      <c r="A4" s="771"/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U4" s="417"/>
    </row>
    <row r="5" spans="1:21" s="579" customFormat="1" ht="20.25">
      <c r="A5" s="613"/>
      <c r="B5" s="613" t="s">
        <v>1126</v>
      </c>
      <c r="C5" s="613"/>
      <c r="D5" s="613" t="s">
        <v>61</v>
      </c>
      <c r="E5" s="613" t="s">
        <v>62</v>
      </c>
      <c r="F5" s="613"/>
      <c r="G5" s="613"/>
      <c r="H5" s="613"/>
      <c r="I5" s="613"/>
      <c r="J5" s="613"/>
      <c r="K5" s="613"/>
      <c r="L5" s="613"/>
      <c r="M5" s="613"/>
      <c r="N5" s="613"/>
      <c r="O5" s="613"/>
      <c r="P5" s="613"/>
      <c r="Q5" s="598"/>
      <c r="U5" s="580"/>
    </row>
    <row r="6" spans="1:21" s="579" customFormat="1" ht="20.25">
      <c r="A6" s="613"/>
      <c r="B6" s="613" t="s">
        <v>1127</v>
      </c>
      <c r="C6" s="613"/>
      <c r="D6" s="613" t="s">
        <v>63</v>
      </c>
      <c r="E6" s="613" t="s">
        <v>1124</v>
      </c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598"/>
      <c r="U6" s="580"/>
    </row>
    <row r="7" spans="1:21">
      <c r="A7" s="618"/>
      <c r="B7" s="309"/>
      <c r="C7" s="309"/>
      <c r="D7" s="619"/>
      <c r="E7" s="619"/>
      <c r="F7" s="309"/>
      <c r="G7" s="310"/>
      <c r="H7" s="310"/>
      <c r="I7" s="310"/>
      <c r="J7" s="310"/>
      <c r="K7" s="310"/>
      <c r="L7" s="310"/>
      <c r="M7" s="310"/>
      <c r="N7" s="310"/>
      <c r="O7" s="310"/>
      <c r="P7" s="310"/>
      <c r="U7" s="417"/>
    </row>
    <row r="8" spans="1:21">
      <c r="A8" s="618"/>
      <c r="B8" s="309"/>
      <c r="C8" s="309"/>
      <c r="D8" s="620" t="e">
        <f>#REF!-#REF!</f>
        <v>#REF!</v>
      </c>
      <c r="E8" s="621"/>
      <c r="F8" s="620"/>
      <c r="G8" s="620" t="e">
        <f>#REF!-#REF!</f>
        <v>#REF!</v>
      </c>
      <c r="H8" s="620" t="e">
        <f>#REF!-#REF!</f>
        <v>#REF!</v>
      </c>
      <c r="I8" s="620" t="e">
        <f>#REF!-#REF!</f>
        <v>#REF!</v>
      </c>
      <c r="J8" s="620" t="e">
        <f>#REF!-#REF!</f>
        <v>#REF!</v>
      </c>
      <c r="K8" s="620" t="e">
        <f>#REF!-#REF!</f>
        <v>#REF!</v>
      </c>
      <c r="L8" s="620" t="e">
        <f>#REF!-#REF!</f>
        <v>#REF!</v>
      </c>
      <c r="M8" s="620" t="e">
        <f>#REF!-#REF!</f>
        <v>#REF!</v>
      </c>
      <c r="N8" s="620" t="e">
        <f>#REF!-#REF!</f>
        <v>#REF!</v>
      </c>
      <c r="O8" s="620" t="e">
        <f>#REF!-#REF!</f>
        <v>#REF!</v>
      </c>
      <c r="P8" s="620" t="e">
        <f>#REF!-#REF!</f>
        <v>#REF!</v>
      </c>
      <c r="U8" s="417" t="e">
        <f>D8-P8</f>
        <v>#REF!</v>
      </c>
    </row>
    <row r="9" spans="1:21" s="581" customFormat="1" ht="24" customHeight="1">
      <c r="A9" s="772"/>
      <c r="B9" s="772" t="s">
        <v>1016</v>
      </c>
      <c r="C9" s="773" t="s">
        <v>5</v>
      </c>
      <c r="D9" s="776" t="s">
        <v>1017</v>
      </c>
      <c r="E9" s="778" t="s">
        <v>1121</v>
      </c>
      <c r="F9" s="781" t="s">
        <v>1018</v>
      </c>
      <c r="G9" s="782" t="s">
        <v>1018</v>
      </c>
      <c r="H9" s="783"/>
      <c r="I9" s="783"/>
      <c r="J9" s="783"/>
      <c r="K9" s="783"/>
      <c r="L9" s="783"/>
      <c r="M9" s="783"/>
      <c r="N9" s="783"/>
      <c r="O9" s="783"/>
      <c r="P9" s="784"/>
      <c r="Q9" s="791" t="s">
        <v>1128</v>
      </c>
    </row>
    <row r="10" spans="1:21" s="581" customFormat="1" ht="24" customHeight="1">
      <c r="A10" s="772"/>
      <c r="B10" s="772"/>
      <c r="C10" s="774"/>
      <c r="D10" s="776"/>
      <c r="E10" s="779"/>
      <c r="F10" s="781"/>
      <c r="G10" s="785"/>
      <c r="H10" s="786"/>
      <c r="I10" s="786"/>
      <c r="J10" s="786"/>
      <c r="K10" s="786"/>
      <c r="L10" s="786"/>
      <c r="M10" s="786"/>
      <c r="N10" s="786"/>
      <c r="O10" s="786"/>
      <c r="P10" s="787"/>
      <c r="Q10" s="792"/>
    </row>
    <row r="11" spans="1:21" s="582" customFormat="1" ht="24" customHeight="1">
      <c r="A11" s="772"/>
      <c r="B11" s="772"/>
      <c r="C11" s="774"/>
      <c r="D11" s="776"/>
      <c r="E11" s="779"/>
      <c r="F11" s="781"/>
      <c r="G11" s="772" t="s">
        <v>1019</v>
      </c>
      <c r="H11" s="772" t="s">
        <v>1020</v>
      </c>
      <c r="I11" s="781" t="s">
        <v>1021</v>
      </c>
      <c r="J11" s="781" t="s">
        <v>1022</v>
      </c>
      <c r="K11" s="772" t="s">
        <v>1023</v>
      </c>
      <c r="L11" s="772" t="s">
        <v>914</v>
      </c>
      <c r="M11" s="772" t="s">
        <v>9</v>
      </c>
      <c r="N11" s="772" t="s">
        <v>1024</v>
      </c>
      <c r="O11" s="788" t="s">
        <v>1025</v>
      </c>
      <c r="P11" s="790" t="s">
        <v>1026</v>
      </c>
      <c r="Q11" s="792"/>
    </row>
    <row r="12" spans="1:21" s="582" customFormat="1" ht="24" customHeight="1">
      <c r="A12" s="772"/>
      <c r="B12" s="772"/>
      <c r="C12" s="775"/>
      <c r="D12" s="777"/>
      <c r="E12" s="780"/>
      <c r="F12" s="781"/>
      <c r="G12" s="772"/>
      <c r="H12" s="772"/>
      <c r="I12" s="781"/>
      <c r="J12" s="781"/>
      <c r="K12" s="772"/>
      <c r="L12" s="772"/>
      <c r="M12" s="772"/>
      <c r="N12" s="772"/>
      <c r="O12" s="789"/>
      <c r="P12" s="790"/>
      <c r="Q12" s="793"/>
    </row>
    <row r="13" spans="1:21" s="581" customFormat="1" ht="20.25">
      <c r="A13" s="622"/>
      <c r="B13" s="623" t="s">
        <v>6</v>
      </c>
      <c r="C13" s="622"/>
      <c r="D13" s="624">
        <f>SUM(D14+D23+D32+D37+D50)</f>
        <v>793154383</v>
      </c>
      <c r="E13" s="625"/>
      <c r="F13" s="626" t="s">
        <v>9</v>
      </c>
      <c r="G13" s="624">
        <f t="shared" ref="G13:P13" si="0">SUM(G14+G23+G32+G37+G50)</f>
        <v>8000000</v>
      </c>
      <c r="H13" s="624">
        <f t="shared" si="0"/>
        <v>3600000</v>
      </c>
      <c r="I13" s="624">
        <f t="shared" si="0"/>
        <v>0</v>
      </c>
      <c r="J13" s="624">
        <f t="shared" si="0"/>
        <v>0</v>
      </c>
      <c r="K13" s="624">
        <f t="shared" si="0"/>
        <v>0</v>
      </c>
      <c r="L13" s="624">
        <f t="shared" si="0"/>
        <v>41960280</v>
      </c>
      <c r="M13" s="624">
        <f t="shared" si="0"/>
        <v>865093200</v>
      </c>
      <c r="N13" s="624">
        <f t="shared" si="0"/>
        <v>20000000</v>
      </c>
      <c r="O13" s="624">
        <f t="shared" si="0"/>
        <v>0</v>
      </c>
      <c r="P13" s="627">
        <f t="shared" si="0"/>
        <v>6400000</v>
      </c>
      <c r="Q13" s="601"/>
    </row>
    <row r="14" spans="1:21" s="585" customFormat="1" ht="56.25" customHeight="1">
      <c r="A14" s="622"/>
      <c r="B14" s="623" t="s">
        <v>1028</v>
      </c>
      <c r="C14" s="622"/>
      <c r="D14" s="624">
        <f>SUM(D15:D22)</f>
        <v>698538655</v>
      </c>
      <c r="E14" s="625"/>
      <c r="F14" s="625">
        <f t="shared" ref="F14:P14" si="1">SUM(F15:F22)</f>
        <v>0</v>
      </c>
      <c r="G14" s="628">
        <f t="shared" si="1"/>
        <v>0</v>
      </c>
      <c r="H14" s="628">
        <f t="shared" si="1"/>
        <v>0</v>
      </c>
      <c r="I14" s="628">
        <f t="shared" si="1"/>
        <v>0</v>
      </c>
      <c r="J14" s="628">
        <f t="shared" si="1"/>
        <v>0</v>
      </c>
      <c r="K14" s="628">
        <f t="shared" si="1"/>
        <v>0</v>
      </c>
      <c r="L14" s="628">
        <f t="shared" si="1"/>
        <v>35960280</v>
      </c>
      <c r="M14" s="628">
        <f t="shared" si="1"/>
        <v>785515972</v>
      </c>
      <c r="N14" s="628">
        <f t="shared" si="1"/>
        <v>0</v>
      </c>
      <c r="O14" s="628">
        <f t="shared" si="1"/>
        <v>0</v>
      </c>
      <c r="P14" s="629">
        <f t="shared" si="1"/>
        <v>0</v>
      </c>
      <c r="Q14" s="608"/>
    </row>
    <row r="15" spans="1:21" s="586" customFormat="1" ht="25.5" customHeight="1">
      <c r="A15" s="588" t="s">
        <v>960</v>
      </c>
      <c r="B15" s="589" t="s">
        <v>7</v>
      </c>
      <c r="C15" s="630" t="s">
        <v>910</v>
      </c>
      <c r="D15" s="590">
        <v>40950000</v>
      </c>
      <c r="E15" s="591"/>
      <c r="F15" s="591" t="s">
        <v>9</v>
      </c>
      <c r="G15" s="592">
        <v>0</v>
      </c>
      <c r="H15" s="592">
        <v>0</v>
      </c>
      <c r="I15" s="592">
        <v>0</v>
      </c>
      <c r="J15" s="592">
        <v>0</v>
      </c>
      <c r="K15" s="592">
        <v>0</v>
      </c>
      <c r="L15" s="592">
        <v>0</v>
      </c>
      <c r="M15" s="592">
        <f>(3000000*12)+1500000</f>
        <v>37500000</v>
      </c>
      <c r="N15" s="592">
        <v>0</v>
      </c>
      <c r="O15" s="592">
        <v>0</v>
      </c>
      <c r="P15" s="605">
        <v>0</v>
      </c>
      <c r="Q15" s="609"/>
    </row>
    <row r="16" spans="1:21" s="593" customFormat="1" ht="33" customHeight="1">
      <c r="A16" s="588" t="s">
        <v>966</v>
      </c>
      <c r="B16" s="589" t="s">
        <v>10</v>
      </c>
      <c r="C16" s="630" t="s">
        <v>910</v>
      </c>
      <c r="D16" s="590">
        <v>499102400</v>
      </c>
      <c r="E16" s="591"/>
      <c r="F16" s="591" t="s">
        <v>9</v>
      </c>
      <c r="G16" s="592">
        <v>0</v>
      </c>
      <c r="H16" s="592">
        <v>0</v>
      </c>
      <c r="I16" s="592">
        <v>0</v>
      </c>
      <c r="J16" s="592">
        <v>0</v>
      </c>
      <c r="K16" s="592">
        <v>0</v>
      </c>
      <c r="L16" s="592">
        <v>0</v>
      </c>
      <c r="M16" s="592">
        <f>(2400000*12)+(2160000*6*12)+(2022500*13*12)+(1705000*5*12)+26100000</f>
        <v>628230000</v>
      </c>
      <c r="N16" s="592">
        <v>0</v>
      </c>
      <c r="O16" s="592">
        <v>0</v>
      </c>
      <c r="P16" s="605">
        <v>0</v>
      </c>
      <c r="Q16" s="610"/>
    </row>
    <row r="17" spans="1:17" s="586" customFormat="1" ht="37.5" customHeight="1">
      <c r="A17" s="588" t="s">
        <v>968</v>
      </c>
      <c r="B17" s="589" t="s">
        <v>11</v>
      </c>
      <c r="C17" s="630" t="s">
        <v>910</v>
      </c>
      <c r="D17" s="615">
        <v>33710578</v>
      </c>
      <c r="E17" s="591"/>
      <c r="F17" s="591" t="s">
        <v>9</v>
      </c>
      <c r="G17" s="592">
        <v>0</v>
      </c>
      <c r="H17" s="592">
        <v>0</v>
      </c>
      <c r="I17" s="592">
        <v>0</v>
      </c>
      <c r="J17" s="592">
        <v>0</v>
      </c>
      <c r="K17" s="592">
        <v>0</v>
      </c>
      <c r="L17" s="592">
        <v>0</v>
      </c>
      <c r="M17" s="592">
        <v>51060972</v>
      </c>
      <c r="N17" s="592">
        <v>0</v>
      </c>
      <c r="O17" s="592">
        <v>0</v>
      </c>
      <c r="P17" s="605">
        <v>0</v>
      </c>
      <c r="Q17" s="609"/>
    </row>
    <row r="18" spans="1:17" s="586" customFormat="1" ht="55.5" customHeight="1">
      <c r="A18" s="588" t="s">
        <v>970</v>
      </c>
      <c r="B18" s="589" t="s">
        <v>12</v>
      </c>
      <c r="C18" s="630" t="s">
        <v>910</v>
      </c>
      <c r="D18" s="590">
        <v>48625677</v>
      </c>
      <c r="E18" s="591"/>
      <c r="F18" s="591" t="s">
        <v>914</v>
      </c>
      <c r="G18" s="592">
        <v>0</v>
      </c>
      <c r="H18" s="592">
        <v>0</v>
      </c>
      <c r="I18" s="592">
        <v>0</v>
      </c>
      <c r="J18" s="592"/>
      <c r="K18" s="592">
        <v>0</v>
      </c>
      <c r="L18" s="592">
        <f>3/100*1198676000</f>
        <v>35960280</v>
      </c>
      <c r="M18" s="592"/>
      <c r="N18" s="592">
        <v>0</v>
      </c>
      <c r="O18" s="592">
        <v>0</v>
      </c>
      <c r="P18" s="605"/>
      <c r="Q18" s="609"/>
    </row>
    <row r="19" spans="1:17" s="586" customFormat="1" ht="27" customHeight="1">
      <c r="A19" s="588" t="s">
        <v>972</v>
      </c>
      <c r="B19" s="589" t="s">
        <v>13</v>
      </c>
      <c r="C19" s="630" t="s">
        <v>910</v>
      </c>
      <c r="D19" s="590">
        <v>53950000</v>
      </c>
      <c r="E19" s="591"/>
      <c r="F19" s="591" t="s">
        <v>9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592">
        <v>0</v>
      </c>
      <c r="M19" s="592">
        <f>(12*500000)+(12*450000)+(12*400000)+(12*2*350000)+(12*4*300000)+1625000</f>
        <v>40625000</v>
      </c>
      <c r="N19" s="592">
        <v>0</v>
      </c>
      <c r="O19" s="592">
        <v>0</v>
      </c>
      <c r="P19" s="605">
        <v>0</v>
      </c>
      <c r="Q19" s="609"/>
    </row>
    <row r="20" spans="1:17" s="586" customFormat="1" ht="56.25" customHeight="1">
      <c r="A20" s="588" t="s">
        <v>974</v>
      </c>
      <c r="B20" s="589" t="s">
        <v>1029</v>
      </c>
      <c r="C20" s="630" t="s">
        <v>910</v>
      </c>
      <c r="D20" s="590">
        <v>2400000</v>
      </c>
      <c r="E20" s="591"/>
      <c r="F20" s="591" t="s">
        <v>9</v>
      </c>
      <c r="G20" s="592">
        <v>0</v>
      </c>
      <c r="H20" s="592">
        <v>0</v>
      </c>
      <c r="I20" s="592">
        <v>0</v>
      </c>
      <c r="J20" s="592">
        <v>0</v>
      </c>
      <c r="K20" s="592">
        <v>0</v>
      </c>
      <c r="L20" s="592">
        <v>0</v>
      </c>
      <c r="M20" s="592">
        <v>5000000</v>
      </c>
      <c r="N20" s="592">
        <v>0</v>
      </c>
      <c r="O20" s="592">
        <v>0</v>
      </c>
      <c r="P20" s="605">
        <v>0</v>
      </c>
      <c r="Q20" s="609"/>
    </row>
    <row r="21" spans="1:17" s="586" customFormat="1" ht="27" customHeight="1">
      <c r="A21" s="588" t="s">
        <v>976</v>
      </c>
      <c r="B21" s="589" t="s">
        <v>14</v>
      </c>
      <c r="C21" s="630" t="s">
        <v>910</v>
      </c>
      <c r="D21" s="590">
        <v>19800000</v>
      </c>
      <c r="E21" s="591"/>
      <c r="F21" s="591" t="s">
        <v>9</v>
      </c>
      <c r="G21" s="592">
        <v>0</v>
      </c>
      <c r="H21" s="592">
        <v>0</v>
      </c>
      <c r="I21" s="592">
        <v>0</v>
      </c>
      <c r="J21" s="592">
        <v>0</v>
      </c>
      <c r="K21" s="592">
        <v>0</v>
      </c>
      <c r="L21" s="592">
        <v>0</v>
      </c>
      <c r="M21" s="592">
        <f>(14*300000)+(63*300000)</f>
        <v>23100000</v>
      </c>
      <c r="N21" s="592">
        <v>0</v>
      </c>
      <c r="O21" s="592">
        <v>0</v>
      </c>
      <c r="P21" s="605">
        <v>0</v>
      </c>
      <c r="Q21" s="609"/>
    </row>
    <row r="22" spans="1:17" s="586" customFormat="1" ht="51" customHeight="1">
      <c r="A22" s="588" t="s">
        <v>1030</v>
      </c>
      <c r="B22" s="589" t="s">
        <v>1031</v>
      </c>
      <c r="C22" s="630"/>
      <c r="D22" s="590">
        <f t="shared" ref="D22" si="2">SUM(F22:P22)</f>
        <v>0</v>
      </c>
      <c r="E22" s="591"/>
      <c r="F22" s="591" t="s">
        <v>9</v>
      </c>
      <c r="G22" s="592">
        <v>0</v>
      </c>
      <c r="H22" s="592">
        <v>0</v>
      </c>
      <c r="I22" s="592">
        <v>0</v>
      </c>
      <c r="J22" s="592">
        <v>0</v>
      </c>
      <c r="K22" s="592">
        <v>0</v>
      </c>
      <c r="L22" s="592">
        <v>0</v>
      </c>
      <c r="M22" s="592">
        <v>0</v>
      </c>
      <c r="N22" s="592">
        <v>0</v>
      </c>
      <c r="O22" s="592">
        <v>0</v>
      </c>
      <c r="P22" s="605">
        <v>0</v>
      </c>
      <c r="Q22" s="609"/>
    </row>
    <row r="23" spans="1:17" s="585" customFormat="1" ht="24.75" customHeight="1">
      <c r="A23" s="631"/>
      <c r="B23" s="623" t="s">
        <v>1032</v>
      </c>
      <c r="C23" s="622"/>
      <c r="D23" s="624">
        <f>SUM(D24:D31)</f>
        <v>36612000</v>
      </c>
      <c r="E23" s="625"/>
      <c r="F23" s="632" t="s">
        <v>9</v>
      </c>
      <c r="G23" s="628">
        <f t="shared" ref="G23:P23" si="3">SUM(G24:G31)</f>
        <v>0</v>
      </c>
      <c r="H23" s="628">
        <f t="shared" si="3"/>
        <v>0</v>
      </c>
      <c r="I23" s="628">
        <f t="shared" si="3"/>
        <v>0</v>
      </c>
      <c r="J23" s="628">
        <f t="shared" si="3"/>
        <v>0</v>
      </c>
      <c r="K23" s="628">
        <f t="shared" si="3"/>
        <v>0</v>
      </c>
      <c r="L23" s="628">
        <f t="shared" si="3"/>
        <v>0</v>
      </c>
      <c r="M23" s="628">
        <f t="shared" si="3"/>
        <v>28900000</v>
      </c>
      <c r="N23" s="628">
        <f t="shared" si="3"/>
        <v>10000000</v>
      </c>
      <c r="O23" s="628">
        <f t="shared" si="3"/>
        <v>0</v>
      </c>
      <c r="P23" s="629">
        <f t="shared" si="3"/>
        <v>0</v>
      </c>
      <c r="Q23" s="608"/>
    </row>
    <row r="24" spans="1:17" s="586" customFormat="1" ht="36.75" customHeight="1">
      <c r="A24" s="588" t="s">
        <v>966</v>
      </c>
      <c r="B24" s="589" t="s">
        <v>1033</v>
      </c>
      <c r="C24" s="630" t="s">
        <v>1116</v>
      </c>
      <c r="D24" s="590">
        <f t="shared" ref="D24:D31" si="4">SUM(F24:P24)</f>
        <v>4000000</v>
      </c>
      <c r="E24" s="591"/>
      <c r="F24" s="591" t="s">
        <v>9</v>
      </c>
      <c r="G24" s="592"/>
      <c r="H24" s="592"/>
      <c r="I24" s="592"/>
      <c r="J24" s="592"/>
      <c r="K24" s="592"/>
      <c r="L24" s="592"/>
      <c r="M24" s="592">
        <v>4000000</v>
      </c>
      <c r="N24" s="592"/>
      <c r="O24" s="592"/>
      <c r="P24" s="605"/>
      <c r="Q24" s="609"/>
    </row>
    <row r="25" spans="1:17" s="586" customFormat="1" ht="36.75" customHeight="1">
      <c r="A25" s="588" t="s">
        <v>968</v>
      </c>
      <c r="B25" s="589" t="s">
        <v>77</v>
      </c>
      <c r="C25" s="630" t="s">
        <v>1116</v>
      </c>
      <c r="D25" s="590">
        <f t="shared" si="4"/>
        <v>10000000</v>
      </c>
      <c r="E25" s="591"/>
      <c r="F25" s="591" t="s">
        <v>31</v>
      </c>
      <c r="G25" s="592"/>
      <c r="H25" s="592"/>
      <c r="I25" s="592"/>
      <c r="J25" s="592"/>
      <c r="K25" s="592"/>
      <c r="L25" s="592"/>
      <c r="M25" s="592"/>
      <c r="N25" s="592">
        <v>10000000</v>
      </c>
      <c r="O25" s="592"/>
      <c r="P25" s="605"/>
      <c r="Q25" s="609"/>
    </row>
    <row r="26" spans="1:17" s="586" customFormat="1" ht="27" customHeight="1">
      <c r="A26" s="588" t="s">
        <v>319</v>
      </c>
      <c r="B26" s="589" t="s">
        <v>1034</v>
      </c>
      <c r="C26" s="630" t="s">
        <v>1116</v>
      </c>
      <c r="D26" s="590">
        <v>5712000</v>
      </c>
      <c r="E26" s="591"/>
      <c r="F26" s="594" t="s">
        <v>9</v>
      </c>
      <c r="G26" s="592"/>
      <c r="H26" s="592"/>
      <c r="I26" s="592"/>
      <c r="J26" s="592"/>
      <c r="K26" s="592"/>
      <c r="L26" s="592"/>
      <c r="M26" s="592">
        <v>8000000</v>
      </c>
      <c r="N26" s="592"/>
      <c r="O26" s="592"/>
      <c r="P26" s="605"/>
      <c r="Q26" s="609"/>
    </row>
    <row r="27" spans="1:17" s="593" customFormat="1" ht="27" customHeight="1">
      <c r="A27" s="588" t="s">
        <v>319</v>
      </c>
      <c r="B27" s="589" t="s">
        <v>1035</v>
      </c>
      <c r="C27" s="630" t="s">
        <v>1116</v>
      </c>
      <c r="D27" s="590">
        <f t="shared" si="4"/>
        <v>9000000</v>
      </c>
      <c r="E27" s="591"/>
      <c r="F27" s="594" t="s">
        <v>9</v>
      </c>
      <c r="G27" s="592"/>
      <c r="H27" s="592"/>
      <c r="I27" s="592"/>
      <c r="J27" s="592"/>
      <c r="K27" s="592"/>
      <c r="L27" s="592"/>
      <c r="M27" s="592">
        <f>1500000*6</f>
        <v>9000000</v>
      </c>
      <c r="N27" s="592"/>
      <c r="O27" s="592"/>
      <c r="P27" s="605"/>
      <c r="Q27" s="610"/>
    </row>
    <row r="28" spans="1:17" s="586" customFormat="1" ht="27" customHeight="1">
      <c r="A28" s="588" t="s">
        <v>1036</v>
      </c>
      <c r="B28" s="589" t="s">
        <v>80</v>
      </c>
      <c r="C28" s="630" t="s">
        <v>1116</v>
      </c>
      <c r="D28" s="590">
        <f t="shared" si="4"/>
        <v>4700000</v>
      </c>
      <c r="E28" s="591"/>
      <c r="F28" s="594" t="s">
        <v>9</v>
      </c>
      <c r="G28" s="592"/>
      <c r="H28" s="592"/>
      <c r="I28" s="592"/>
      <c r="J28" s="592"/>
      <c r="K28" s="592"/>
      <c r="L28" s="592"/>
      <c r="M28" s="592">
        <v>4700000</v>
      </c>
      <c r="N28" s="592"/>
      <c r="O28" s="592"/>
      <c r="P28" s="605"/>
      <c r="Q28" s="609"/>
    </row>
    <row r="29" spans="1:17" s="586" customFormat="1" ht="27" customHeight="1">
      <c r="A29" s="588" t="s">
        <v>1037</v>
      </c>
      <c r="B29" s="589" t="s">
        <v>81</v>
      </c>
      <c r="C29" s="630" t="s">
        <v>1116</v>
      </c>
      <c r="D29" s="590">
        <f t="shared" si="4"/>
        <v>1500000</v>
      </c>
      <c r="E29" s="591"/>
      <c r="F29" s="591" t="s">
        <v>9</v>
      </c>
      <c r="G29" s="592"/>
      <c r="H29" s="592"/>
      <c r="I29" s="592"/>
      <c r="J29" s="592"/>
      <c r="K29" s="592"/>
      <c r="L29" s="592"/>
      <c r="M29" s="592">
        <v>1500000</v>
      </c>
      <c r="N29" s="592"/>
      <c r="O29" s="592"/>
      <c r="P29" s="605"/>
      <c r="Q29" s="609"/>
    </row>
    <row r="30" spans="1:17" s="586" customFormat="1" ht="27" customHeight="1">
      <c r="A30" s="588" t="s">
        <v>1038</v>
      </c>
      <c r="B30" s="589" t="s">
        <v>82</v>
      </c>
      <c r="C30" s="630" t="s">
        <v>1116</v>
      </c>
      <c r="D30" s="590">
        <f t="shared" si="4"/>
        <v>1700000</v>
      </c>
      <c r="E30" s="591"/>
      <c r="F30" s="591" t="s">
        <v>9</v>
      </c>
      <c r="G30" s="592"/>
      <c r="H30" s="592"/>
      <c r="I30" s="592"/>
      <c r="J30" s="592"/>
      <c r="K30" s="592"/>
      <c r="L30" s="592"/>
      <c r="M30" s="592">
        <v>1700000</v>
      </c>
      <c r="N30" s="592"/>
      <c r="O30" s="592"/>
      <c r="P30" s="605"/>
      <c r="Q30" s="609"/>
    </row>
    <row r="31" spans="1:17" s="586" customFormat="1" ht="27" customHeight="1">
      <c r="A31" s="588" t="s">
        <v>1030</v>
      </c>
      <c r="B31" s="589" t="s">
        <v>1039</v>
      </c>
      <c r="C31" s="630"/>
      <c r="D31" s="590">
        <f t="shared" si="4"/>
        <v>0</v>
      </c>
      <c r="E31" s="591"/>
      <c r="F31" s="591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592">
        <v>0</v>
      </c>
      <c r="M31" s="592">
        <v>0</v>
      </c>
      <c r="N31" s="592">
        <v>0</v>
      </c>
      <c r="O31" s="592">
        <v>0</v>
      </c>
      <c r="P31" s="605">
        <v>0</v>
      </c>
      <c r="Q31" s="609"/>
    </row>
    <row r="32" spans="1:17" s="585" customFormat="1" ht="40.5" customHeight="1">
      <c r="A32" s="631"/>
      <c r="B32" s="623" t="s">
        <v>1040</v>
      </c>
      <c r="C32" s="622"/>
      <c r="D32" s="624">
        <f>SUM(D33:D36)</f>
        <v>7343700</v>
      </c>
      <c r="E32" s="625"/>
      <c r="F32" s="625" t="s">
        <v>9</v>
      </c>
      <c r="G32" s="628">
        <f>SUM(G33:G36)</f>
        <v>0</v>
      </c>
      <c r="H32" s="628">
        <f t="shared" ref="H32:P32" si="5">SUM(H33:H36)</f>
        <v>0</v>
      </c>
      <c r="I32" s="628">
        <f t="shared" si="5"/>
        <v>0</v>
      </c>
      <c r="J32" s="628">
        <f t="shared" si="5"/>
        <v>0</v>
      </c>
      <c r="K32" s="628">
        <f t="shared" si="5"/>
        <v>0</v>
      </c>
      <c r="L32" s="628">
        <f t="shared" si="5"/>
        <v>0</v>
      </c>
      <c r="M32" s="628">
        <f t="shared" si="5"/>
        <v>12360000</v>
      </c>
      <c r="N32" s="628">
        <f t="shared" si="5"/>
        <v>0</v>
      </c>
      <c r="O32" s="628">
        <f t="shared" si="5"/>
        <v>0</v>
      </c>
      <c r="P32" s="629">
        <f t="shared" si="5"/>
        <v>0</v>
      </c>
      <c r="Q32" s="608"/>
    </row>
    <row r="33" spans="1:17" s="586" customFormat="1" ht="39" customHeight="1">
      <c r="A33" s="588" t="s">
        <v>966</v>
      </c>
      <c r="B33" s="589" t="s">
        <v>86</v>
      </c>
      <c r="C33" s="630" t="s">
        <v>1116</v>
      </c>
      <c r="D33" s="590">
        <v>2343700</v>
      </c>
      <c r="E33" s="591"/>
      <c r="F33" s="591" t="s">
        <v>9</v>
      </c>
      <c r="G33" s="592">
        <v>0</v>
      </c>
      <c r="H33" s="592">
        <v>0</v>
      </c>
      <c r="I33" s="592">
        <v>0</v>
      </c>
      <c r="J33" s="592">
        <v>0</v>
      </c>
      <c r="K33" s="592">
        <v>0</v>
      </c>
      <c r="L33" s="592">
        <v>0</v>
      </c>
      <c r="M33" s="592">
        <v>5000000</v>
      </c>
      <c r="N33" s="592">
        <v>0</v>
      </c>
      <c r="O33" s="592">
        <v>0</v>
      </c>
      <c r="P33" s="605">
        <v>0</v>
      </c>
      <c r="Q33" s="609"/>
    </row>
    <row r="34" spans="1:17" s="586" customFormat="1" ht="39" customHeight="1">
      <c r="A34" s="588" t="s">
        <v>319</v>
      </c>
      <c r="B34" s="589" t="s">
        <v>1041</v>
      </c>
      <c r="C34" s="630" t="s">
        <v>1116</v>
      </c>
      <c r="D34" s="590">
        <v>2137500</v>
      </c>
      <c r="E34" s="591"/>
      <c r="F34" s="591" t="s">
        <v>9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592">
        <v>0</v>
      </c>
      <c r="M34" s="592">
        <v>3600000</v>
      </c>
      <c r="N34" s="592">
        <v>0</v>
      </c>
      <c r="O34" s="592">
        <v>0</v>
      </c>
      <c r="P34" s="605">
        <v>0</v>
      </c>
      <c r="Q34" s="609"/>
    </row>
    <row r="35" spans="1:17" s="586" customFormat="1" ht="20.25">
      <c r="A35" s="588" t="s">
        <v>1042</v>
      </c>
      <c r="B35" s="633" t="s">
        <v>88</v>
      </c>
      <c r="C35" s="630" t="s">
        <v>1116</v>
      </c>
      <c r="D35" s="590">
        <v>2862500</v>
      </c>
      <c r="E35" s="591"/>
      <c r="F35" s="591" t="s">
        <v>914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592">
        <v>0</v>
      </c>
      <c r="M35" s="592">
        <v>3760000</v>
      </c>
      <c r="N35" s="592">
        <v>0</v>
      </c>
      <c r="O35" s="592">
        <v>0</v>
      </c>
      <c r="P35" s="605">
        <v>0</v>
      </c>
      <c r="Q35" s="609"/>
    </row>
    <row r="36" spans="1:17" s="586" customFormat="1" ht="43.5" customHeight="1">
      <c r="A36" s="588" t="s">
        <v>1030</v>
      </c>
      <c r="B36" s="599" t="s">
        <v>1043</v>
      </c>
      <c r="C36" s="614"/>
      <c r="D36" s="590">
        <f>SUM(F36:P36)</f>
        <v>0</v>
      </c>
      <c r="E36" s="591"/>
      <c r="F36" s="591" t="s">
        <v>9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592">
        <v>0</v>
      </c>
      <c r="M36" s="592">
        <v>0</v>
      </c>
      <c r="N36" s="592">
        <v>0</v>
      </c>
      <c r="O36" s="592">
        <v>0</v>
      </c>
      <c r="P36" s="605">
        <v>0</v>
      </c>
      <c r="Q36" s="609"/>
    </row>
    <row r="37" spans="1:17" s="595" customFormat="1" ht="41.25" customHeight="1">
      <c r="A37" s="634"/>
      <c r="B37" s="635" t="s">
        <v>1044</v>
      </c>
      <c r="C37" s="636"/>
      <c r="D37" s="637">
        <f>SUM(D38:D49)</f>
        <v>41255800</v>
      </c>
      <c r="E37" s="638"/>
      <c r="F37" s="638" t="s">
        <v>9</v>
      </c>
      <c r="G37" s="637">
        <f t="shared" ref="G37:P37" si="6">SUM(G38:G49)</f>
        <v>0</v>
      </c>
      <c r="H37" s="637">
        <f t="shared" si="6"/>
        <v>0</v>
      </c>
      <c r="I37" s="637">
        <f t="shared" si="6"/>
        <v>0</v>
      </c>
      <c r="J37" s="637">
        <f t="shared" si="6"/>
        <v>0</v>
      </c>
      <c r="K37" s="637">
        <f t="shared" si="6"/>
        <v>0</v>
      </c>
      <c r="L37" s="637">
        <f t="shared" si="6"/>
        <v>6000000</v>
      </c>
      <c r="M37" s="637">
        <f t="shared" si="6"/>
        <v>31663000</v>
      </c>
      <c r="N37" s="637">
        <f t="shared" si="6"/>
        <v>10000000</v>
      </c>
      <c r="O37" s="637">
        <f t="shared" si="6"/>
        <v>0</v>
      </c>
      <c r="P37" s="639">
        <f t="shared" si="6"/>
        <v>4000000</v>
      </c>
      <c r="Q37" s="611"/>
    </row>
    <row r="38" spans="1:17" s="586" customFormat="1" ht="42" customHeight="1">
      <c r="A38" s="640" t="s">
        <v>960</v>
      </c>
      <c r="B38" s="599" t="s">
        <v>1045</v>
      </c>
      <c r="C38" s="614" t="s">
        <v>910</v>
      </c>
      <c r="D38" s="590">
        <v>9977500</v>
      </c>
      <c r="E38" s="591"/>
      <c r="F38" s="591" t="s">
        <v>9</v>
      </c>
      <c r="G38" s="592">
        <v>0</v>
      </c>
      <c r="H38" s="592">
        <v>0</v>
      </c>
      <c r="I38" s="592">
        <v>0</v>
      </c>
      <c r="J38" s="592">
        <v>0</v>
      </c>
      <c r="K38" s="592">
        <v>0</v>
      </c>
      <c r="L38" s="592">
        <v>0</v>
      </c>
      <c r="M38" s="592">
        <f>200000+150000+(40*30000)+200000</f>
        <v>1750000</v>
      </c>
      <c r="N38" s="592">
        <v>0</v>
      </c>
      <c r="O38" s="592">
        <v>0</v>
      </c>
      <c r="P38" s="605">
        <v>0</v>
      </c>
      <c r="Q38" s="609"/>
    </row>
    <row r="39" spans="1:17" s="586" customFormat="1" ht="36.75" customHeight="1">
      <c r="A39" s="641" t="s">
        <v>968</v>
      </c>
      <c r="B39" s="599" t="s">
        <v>1046</v>
      </c>
      <c r="C39" s="614" t="s">
        <v>910</v>
      </c>
      <c r="D39" s="590">
        <v>4602500</v>
      </c>
      <c r="E39" s="591"/>
      <c r="F39" s="591" t="s">
        <v>9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592">
        <v>0</v>
      </c>
      <c r="M39" s="592">
        <v>2980000</v>
      </c>
      <c r="N39" s="592">
        <v>0</v>
      </c>
      <c r="O39" s="592">
        <v>0</v>
      </c>
      <c r="P39" s="605">
        <v>0</v>
      </c>
      <c r="Q39" s="609"/>
    </row>
    <row r="40" spans="1:17" s="586" customFormat="1" ht="41.25" customHeight="1">
      <c r="A40" s="641" t="s">
        <v>970</v>
      </c>
      <c r="B40" s="599" t="s">
        <v>1047</v>
      </c>
      <c r="C40" s="614" t="s">
        <v>910</v>
      </c>
      <c r="D40" s="590">
        <v>5645800</v>
      </c>
      <c r="E40" s="591"/>
      <c r="F40" s="591" t="s">
        <v>9</v>
      </c>
      <c r="G40" s="592">
        <v>0</v>
      </c>
      <c r="H40" s="592">
        <v>0</v>
      </c>
      <c r="I40" s="592">
        <v>0</v>
      </c>
      <c r="J40" s="592">
        <v>0</v>
      </c>
      <c r="K40" s="592">
        <v>0</v>
      </c>
      <c r="L40" s="592">
        <v>0</v>
      </c>
      <c r="M40" s="592">
        <f>(200000+150000+(40*30000)+200000)*2</f>
        <v>3500000</v>
      </c>
      <c r="N40" s="592">
        <v>0</v>
      </c>
      <c r="O40" s="592">
        <v>0</v>
      </c>
      <c r="P40" s="605">
        <v>0</v>
      </c>
      <c r="Q40" s="609"/>
    </row>
    <row r="41" spans="1:17" s="586" customFormat="1" ht="28.5" customHeight="1">
      <c r="A41" s="641" t="s">
        <v>972</v>
      </c>
      <c r="B41" s="642" t="s">
        <v>1048</v>
      </c>
      <c r="C41" s="614" t="s">
        <v>910</v>
      </c>
      <c r="D41" s="590">
        <f t="shared" ref="D41:D49" si="7">SUM(F41:P41)</f>
        <v>4000000</v>
      </c>
      <c r="E41" s="591"/>
      <c r="F41" s="591" t="s">
        <v>933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592">
        <v>0</v>
      </c>
      <c r="M41" s="592"/>
      <c r="N41" s="592">
        <v>0</v>
      </c>
      <c r="O41" s="592">
        <v>0</v>
      </c>
      <c r="P41" s="605">
        <v>4000000</v>
      </c>
      <c r="Q41" s="609"/>
    </row>
    <row r="42" spans="1:17" s="586" customFormat="1" ht="45.75" customHeight="1">
      <c r="A42" s="641" t="s">
        <v>974</v>
      </c>
      <c r="B42" s="599" t="s">
        <v>1049</v>
      </c>
      <c r="C42" s="614" t="s">
        <v>910</v>
      </c>
      <c r="D42" s="590">
        <f t="shared" si="7"/>
        <v>2980000</v>
      </c>
      <c r="E42" s="591"/>
      <c r="F42" s="591" t="s">
        <v>9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592">
        <v>2980000</v>
      </c>
      <c r="N42" s="592">
        <v>0</v>
      </c>
      <c r="O42" s="592">
        <v>0</v>
      </c>
      <c r="P42" s="605">
        <v>0</v>
      </c>
      <c r="Q42" s="609"/>
    </row>
    <row r="43" spans="1:17" s="586" customFormat="1" ht="95.25" customHeight="1">
      <c r="A43" s="641" t="s">
        <v>976</v>
      </c>
      <c r="B43" s="599" t="s">
        <v>16</v>
      </c>
      <c r="C43" s="614" t="s">
        <v>910</v>
      </c>
      <c r="D43" s="590">
        <f t="shared" si="7"/>
        <v>1750000</v>
      </c>
      <c r="E43" s="591"/>
      <c r="F43" s="591" t="s">
        <v>9</v>
      </c>
      <c r="G43" s="592">
        <v>0</v>
      </c>
      <c r="H43" s="592">
        <v>0</v>
      </c>
      <c r="I43" s="592">
        <v>0</v>
      </c>
      <c r="J43" s="592">
        <v>0</v>
      </c>
      <c r="K43" s="592">
        <v>0</v>
      </c>
      <c r="L43" s="592">
        <v>0</v>
      </c>
      <c r="M43" s="592">
        <f>200000+150000+(40*30000)+200000</f>
        <v>1750000</v>
      </c>
      <c r="N43" s="592">
        <v>0</v>
      </c>
      <c r="O43" s="592">
        <v>0</v>
      </c>
      <c r="P43" s="605">
        <v>0</v>
      </c>
      <c r="Q43" s="609"/>
    </row>
    <row r="44" spans="1:17" s="586" customFormat="1" ht="48" customHeight="1">
      <c r="A44" s="641" t="s">
        <v>978</v>
      </c>
      <c r="B44" s="599" t="s">
        <v>98</v>
      </c>
      <c r="C44" s="614" t="s">
        <v>910</v>
      </c>
      <c r="D44" s="590">
        <v>4200000</v>
      </c>
      <c r="E44" s="591"/>
      <c r="F44" s="591" t="s">
        <v>914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592">
        <v>6000000</v>
      </c>
      <c r="M44" s="592"/>
      <c r="N44" s="592">
        <v>0</v>
      </c>
      <c r="O44" s="592">
        <v>0</v>
      </c>
      <c r="P44" s="605">
        <v>0</v>
      </c>
      <c r="Q44" s="609"/>
    </row>
    <row r="45" spans="1:17" s="586" customFormat="1" ht="39.75" customHeight="1">
      <c r="A45" s="641" t="s">
        <v>319</v>
      </c>
      <c r="B45" s="599" t="s">
        <v>101</v>
      </c>
      <c r="C45" s="614" t="s">
        <v>910</v>
      </c>
      <c r="D45" s="590"/>
      <c r="E45" s="591"/>
      <c r="F45" s="591" t="s">
        <v>9</v>
      </c>
      <c r="G45" s="592">
        <v>0</v>
      </c>
      <c r="H45" s="592">
        <v>0</v>
      </c>
      <c r="I45" s="592">
        <v>0</v>
      </c>
      <c r="J45" s="592">
        <v>0</v>
      </c>
      <c r="K45" s="592">
        <v>0</v>
      </c>
      <c r="L45" s="592">
        <v>0</v>
      </c>
      <c r="M45" s="592">
        <v>4300000</v>
      </c>
      <c r="N45" s="592">
        <v>0</v>
      </c>
      <c r="O45" s="592">
        <v>0</v>
      </c>
      <c r="P45" s="605">
        <v>0</v>
      </c>
      <c r="Q45" s="609"/>
    </row>
    <row r="46" spans="1:17" s="586" customFormat="1" ht="39.75" customHeight="1">
      <c r="A46" s="641" t="s">
        <v>1042</v>
      </c>
      <c r="B46" s="599" t="s">
        <v>1112</v>
      </c>
      <c r="C46" s="614" t="s">
        <v>910</v>
      </c>
      <c r="D46" s="590"/>
      <c r="E46" s="591"/>
      <c r="F46" s="591" t="s">
        <v>31</v>
      </c>
      <c r="G46" s="592"/>
      <c r="H46" s="592"/>
      <c r="I46" s="592"/>
      <c r="J46" s="592"/>
      <c r="K46" s="592"/>
      <c r="L46" s="592"/>
      <c r="M46" s="592"/>
      <c r="N46" s="592">
        <v>10000000</v>
      </c>
      <c r="O46" s="592"/>
      <c r="P46" s="605"/>
      <c r="Q46" s="609"/>
    </row>
    <row r="47" spans="1:17" s="586" customFormat="1" ht="39.75" customHeight="1">
      <c r="A47" s="641" t="s">
        <v>1036</v>
      </c>
      <c r="B47" s="599" t="s">
        <v>402</v>
      </c>
      <c r="C47" s="614" t="s">
        <v>910</v>
      </c>
      <c r="D47" s="590"/>
      <c r="E47" s="591"/>
      <c r="F47" s="591" t="s">
        <v>9</v>
      </c>
      <c r="G47" s="592"/>
      <c r="H47" s="592"/>
      <c r="I47" s="592"/>
      <c r="J47" s="592"/>
      <c r="K47" s="592"/>
      <c r="L47" s="592"/>
      <c r="M47" s="592">
        <f>3*2101000</f>
        <v>6303000</v>
      </c>
      <c r="N47" s="592"/>
      <c r="O47" s="592"/>
      <c r="P47" s="605"/>
      <c r="Q47" s="609"/>
    </row>
    <row r="48" spans="1:17" s="586" customFormat="1" ht="39.75" customHeight="1">
      <c r="A48" s="641" t="s">
        <v>1038</v>
      </c>
      <c r="B48" s="599" t="s">
        <v>104</v>
      </c>
      <c r="C48" s="614" t="s">
        <v>910</v>
      </c>
      <c r="D48" s="590">
        <f>SUM(F48:P48)</f>
        <v>8100000</v>
      </c>
      <c r="E48" s="591"/>
      <c r="F48" s="591" t="s">
        <v>9</v>
      </c>
      <c r="G48" s="592"/>
      <c r="H48" s="592"/>
      <c r="I48" s="592"/>
      <c r="J48" s="592"/>
      <c r="K48" s="592"/>
      <c r="L48" s="592"/>
      <c r="M48" s="592">
        <f>27*300000</f>
        <v>8100000</v>
      </c>
      <c r="N48" s="592"/>
      <c r="O48" s="592"/>
      <c r="P48" s="605"/>
      <c r="Q48" s="609"/>
    </row>
    <row r="49" spans="1:17" s="586" customFormat="1" ht="40.5" customHeight="1">
      <c r="A49" s="641" t="s">
        <v>1030</v>
      </c>
      <c r="B49" s="599" t="s">
        <v>1050</v>
      </c>
      <c r="C49" s="614"/>
      <c r="D49" s="590">
        <f t="shared" si="7"/>
        <v>0</v>
      </c>
      <c r="E49" s="591"/>
      <c r="F49" s="591" t="s">
        <v>9</v>
      </c>
      <c r="G49" s="592">
        <v>0</v>
      </c>
      <c r="H49" s="592">
        <v>0</v>
      </c>
      <c r="I49" s="592">
        <v>0</v>
      </c>
      <c r="J49" s="592">
        <v>0</v>
      </c>
      <c r="K49" s="592">
        <v>0</v>
      </c>
      <c r="L49" s="592">
        <v>0</v>
      </c>
      <c r="M49" s="592">
        <v>0</v>
      </c>
      <c r="N49" s="592">
        <v>0</v>
      </c>
      <c r="O49" s="592">
        <v>0</v>
      </c>
      <c r="P49" s="605">
        <v>0</v>
      </c>
      <c r="Q49" s="609"/>
    </row>
    <row r="50" spans="1:17" s="581" customFormat="1" ht="29.25" customHeight="1">
      <c r="A50" s="643"/>
      <c r="B50" s="644" t="s">
        <v>17</v>
      </c>
      <c r="C50" s="645"/>
      <c r="D50" s="624">
        <f t="shared" ref="D50:P50" si="8">SUM(D51:D54)</f>
        <v>9404228</v>
      </c>
      <c r="E50" s="625"/>
      <c r="F50" s="624">
        <f t="shared" si="8"/>
        <v>0</v>
      </c>
      <c r="G50" s="624">
        <f t="shared" si="8"/>
        <v>8000000</v>
      </c>
      <c r="H50" s="624">
        <f t="shared" si="8"/>
        <v>3600000</v>
      </c>
      <c r="I50" s="624">
        <f t="shared" si="8"/>
        <v>0</v>
      </c>
      <c r="J50" s="624">
        <f t="shared" si="8"/>
        <v>0</v>
      </c>
      <c r="K50" s="624">
        <f t="shared" si="8"/>
        <v>0</v>
      </c>
      <c r="L50" s="624">
        <f t="shared" si="8"/>
        <v>0</v>
      </c>
      <c r="M50" s="624">
        <f t="shared" si="8"/>
        <v>6654228</v>
      </c>
      <c r="N50" s="624">
        <f t="shared" si="8"/>
        <v>0</v>
      </c>
      <c r="O50" s="624">
        <f t="shared" si="8"/>
        <v>0</v>
      </c>
      <c r="P50" s="627">
        <f t="shared" si="8"/>
        <v>2400000</v>
      </c>
      <c r="Q50" s="601"/>
    </row>
    <row r="51" spans="1:17" s="586" customFormat="1" ht="26.25" customHeight="1">
      <c r="A51" s="641" t="s">
        <v>960</v>
      </c>
      <c r="B51" s="599" t="s">
        <v>107</v>
      </c>
      <c r="C51" s="614" t="s">
        <v>1116</v>
      </c>
      <c r="D51" s="590">
        <f>SUM(F51:P51)</f>
        <v>2500000</v>
      </c>
      <c r="E51" s="591"/>
      <c r="F51" s="591" t="s">
        <v>9</v>
      </c>
      <c r="G51" s="592">
        <v>0</v>
      </c>
      <c r="H51" s="592">
        <v>0</v>
      </c>
      <c r="I51" s="592">
        <v>0</v>
      </c>
      <c r="J51" s="592">
        <v>0</v>
      </c>
      <c r="K51" s="592">
        <v>0</v>
      </c>
      <c r="L51" s="592">
        <v>0</v>
      </c>
      <c r="M51" s="592">
        <v>2500000</v>
      </c>
      <c r="N51" s="592">
        <v>0</v>
      </c>
      <c r="O51" s="592">
        <v>0</v>
      </c>
      <c r="P51" s="605">
        <v>0</v>
      </c>
      <c r="Q51" s="609"/>
    </row>
    <row r="52" spans="1:17" s="586" customFormat="1" ht="26.25" customHeight="1">
      <c r="A52" s="641" t="s">
        <v>319</v>
      </c>
      <c r="B52" s="599" t="s">
        <v>1113</v>
      </c>
      <c r="C52" s="614" t="s">
        <v>1116</v>
      </c>
      <c r="D52" s="590">
        <f>SUM(F52:P52)</f>
        <v>4154228</v>
      </c>
      <c r="E52" s="591"/>
      <c r="F52" s="591" t="s">
        <v>9</v>
      </c>
      <c r="G52" s="592"/>
      <c r="H52" s="592"/>
      <c r="I52" s="592">
        <v>0</v>
      </c>
      <c r="J52" s="592">
        <v>0</v>
      </c>
      <c r="K52" s="592">
        <v>0</v>
      </c>
      <c r="L52" s="592">
        <v>0</v>
      </c>
      <c r="M52" s="592">
        <f>5000000-845772</f>
        <v>4154228</v>
      </c>
      <c r="N52" s="592">
        <v>0</v>
      </c>
      <c r="O52" s="592">
        <v>0</v>
      </c>
      <c r="P52" s="605">
        <v>0</v>
      </c>
      <c r="Q52" s="609"/>
    </row>
    <row r="53" spans="1:17" s="586" customFormat="1" ht="41.25" customHeight="1">
      <c r="A53" s="641" t="s">
        <v>1037</v>
      </c>
      <c r="B53" s="599" t="s">
        <v>51</v>
      </c>
      <c r="C53" s="614" t="s">
        <v>1116</v>
      </c>
      <c r="D53" s="590">
        <v>2750000</v>
      </c>
      <c r="E53" s="591"/>
      <c r="F53" s="591" t="s">
        <v>1115</v>
      </c>
      <c r="G53" s="592">
        <v>8000000</v>
      </c>
      <c r="H53" s="592">
        <v>3600000</v>
      </c>
      <c r="I53" s="592">
        <v>0</v>
      </c>
      <c r="J53" s="592">
        <v>0</v>
      </c>
      <c r="K53" s="592">
        <v>0</v>
      </c>
      <c r="L53" s="592">
        <v>0</v>
      </c>
      <c r="M53" s="592"/>
      <c r="N53" s="592">
        <v>0</v>
      </c>
      <c r="O53" s="592">
        <v>0</v>
      </c>
      <c r="P53" s="605">
        <v>2400000</v>
      </c>
      <c r="Q53" s="609"/>
    </row>
    <row r="54" spans="1:17" s="586" customFormat="1" ht="27" customHeight="1">
      <c r="A54" s="641" t="s">
        <v>1030</v>
      </c>
      <c r="B54" s="642" t="s">
        <v>1052</v>
      </c>
      <c r="C54" s="640"/>
      <c r="D54" s="590">
        <f>SUM(F54:P54)</f>
        <v>0</v>
      </c>
      <c r="E54" s="591"/>
      <c r="F54" s="591" t="s">
        <v>9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592">
        <v>0</v>
      </c>
      <c r="N54" s="592">
        <v>0</v>
      </c>
      <c r="O54" s="592">
        <v>0</v>
      </c>
      <c r="P54" s="605">
        <v>0</v>
      </c>
      <c r="Q54" s="609"/>
    </row>
    <row r="55" spans="1:17" s="581" customFormat="1" ht="27" customHeight="1">
      <c r="A55" s="631"/>
      <c r="B55" s="623" t="s">
        <v>115</v>
      </c>
      <c r="C55" s="622"/>
      <c r="D55" s="624">
        <f>D56+D60+D66+D72+D76+D78</f>
        <v>1203245000</v>
      </c>
      <c r="E55" s="625"/>
      <c r="F55" s="624" t="e">
        <f t="shared" ref="F55:P55" si="9">F56+F60+F66+F72+F76+F78</f>
        <v>#VALUE!</v>
      </c>
      <c r="G55" s="624">
        <f t="shared" si="9"/>
        <v>0</v>
      </c>
      <c r="H55" s="624">
        <f t="shared" si="9"/>
        <v>0</v>
      </c>
      <c r="I55" s="624">
        <f t="shared" si="9"/>
        <v>0</v>
      </c>
      <c r="J55" s="624">
        <f t="shared" si="9"/>
        <v>0</v>
      </c>
      <c r="K55" s="624">
        <f t="shared" si="9"/>
        <v>0</v>
      </c>
      <c r="L55" s="624">
        <f t="shared" si="9"/>
        <v>1032711500</v>
      </c>
      <c r="M55" s="624">
        <f t="shared" si="9"/>
        <v>0</v>
      </c>
      <c r="N55" s="624">
        <f t="shared" si="9"/>
        <v>0</v>
      </c>
      <c r="O55" s="624">
        <f t="shared" si="9"/>
        <v>350000000</v>
      </c>
      <c r="P55" s="627">
        <f t="shared" si="9"/>
        <v>22000000</v>
      </c>
      <c r="Q55" s="601"/>
    </row>
    <row r="56" spans="1:17" s="581" customFormat="1" ht="29.25" customHeight="1">
      <c r="A56" s="631"/>
      <c r="B56" s="623" t="s">
        <v>20</v>
      </c>
      <c r="C56" s="622"/>
      <c r="D56" s="624">
        <f>SUM(D57:D59)</f>
        <v>31500000</v>
      </c>
      <c r="E56" s="625"/>
      <c r="F56" s="625" t="s">
        <v>21</v>
      </c>
      <c r="G56" s="624">
        <f t="shared" ref="G56:P56" si="10">SUM(G57:G59)</f>
        <v>0</v>
      </c>
      <c r="H56" s="624">
        <f t="shared" si="10"/>
        <v>0</v>
      </c>
      <c r="I56" s="624">
        <f t="shared" si="10"/>
        <v>0</v>
      </c>
      <c r="J56" s="624">
        <f t="shared" si="10"/>
        <v>0</v>
      </c>
      <c r="K56" s="624">
        <f t="shared" si="10"/>
        <v>0</v>
      </c>
      <c r="L56" s="624">
        <f t="shared" si="10"/>
        <v>48300000</v>
      </c>
      <c r="M56" s="624">
        <f t="shared" si="10"/>
        <v>0</v>
      </c>
      <c r="N56" s="624">
        <f t="shared" si="10"/>
        <v>0</v>
      </c>
      <c r="O56" s="624">
        <f t="shared" si="10"/>
        <v>0</v>
      </c>
      <c r="P56" s="627">
        <f t="shared" si="10"/>
        <v>0</v>
      </c>
      <c r="Q56" s="601"/>
    </row>
    <row r="57" spans="1:17" s="593" customFormat="1" ht="62.25" customHeight="1">
      <c r="A57" s="596" t="s">
        <v>960</v>
      </c>
      <c r="B57" s="599" t="s">
        <v>916</v>
      </c>
      <c r="C57" s="614" t="s">
        <v>1116</v>
      </c>
      <c r="D57" s="590">
        <v>11500000</v>
      </c>
      <c r="E57" s="591"/>
      <c r="F57" s="591" t="s">
        <v>21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23300000</v>
      </c>
      <c r="M57" s="592">
        <v>0</v>
      </c>
      <c r="N57" s="592">
        <v>0</v>
      </c>
      <c r="O57" s="592">
        <v>0</v>
      </c>
      <c r="P57" s="605">
        <v>0</v>
      </c>
      <c r="Q57" s="610"/>
    </row>
    <row r="58" spans="1:17" s="593" customFormat="1" ht="51" customHeight="1">
      <c r="A58" s="596" t="s">
        <v>319</v>
      </c>
      <c r="B58" s="599" t="s">
        <v>122</v>
      </c>
      <c r="C58" s="614" t="s">
        <v>1116</v>
      </c>
      <c r="D58" s="590">
        <v>20000000</v>
      </c>
      <c r="E58" s="591"/>
      <c r="F58" s="591" t="s">
        <v>21</v>
      </c>
      <c r="G58" s="592">
        <v>0</v>
      </c>
      <c r="H58" s="592">
        <v>0</v>
      </c>
      <c r="I58" s="592">
        <v>0</v>
      </c>
      <c r="J58" s="592">
        <v>0</v>
      </c>
      <c r="K58" s="592">
        <v>0</v>
      </c>
      <c r="L58" s="592">
        <v>25000000</v>
      </c>
      <c r="M58" s="592">
        <v>0</v>
      </c>
      <c r="N58" s="592">
        <v>0</v>
      </c>
      <c r="O58" s="592">
        <v>0</v>
      </c>
      <c r="P58" s="605">
        <v>0</v>
      </c>
      <c r="Q58" s="610"/>
    </row>
    <row r="59" spans="1:17" s="586" customFormat="1" ht="29.25" customHeight="1">
      <c r="A59" s="596" t="s">
        <v>1030</v>
      </c>
      <c r="B59" s="599" t="s">
        <v>1053</v>
      </c>
      <c r="C59" s="614"/>
      <c r="D59" s="590">
        <f>SUM(F59:P59)</f>
        <v>0</v>
      </c>
      <c r="E59" s="591"/>
      <c r="F59" s="591" t="s">
        <v>21</v>
      </c>
      <c r="G59" s="592">
        <v>0</v>
      </c>
      <c r="H59" s="592">
        <v>0</v>
      </c>
      <c r="I59" s="592">
        <v>0</v>
      </c>
      <c r="J59" s="592">
        <v>0</v>
      </c>
      <c r="K59" s="592">
        <v>0</v>
      </c>
      <c r="L59" s="592">
        <v>0</v>
      </c>
      <c r="M59" s="592">
        <v>0</v>
      </c>
      <c r="N59" s="592">
        <v>0</v>
      </c>
      <c r="O59" s="592">
        <v>0</v>
      </c>
      <c r="P59" s="605">
        <v>0</v>
      </c>
      <c r="Q59" s="609"/>
    </row>
    <row r="60" spans="1:17" s="581" customFormat="1" ht="29.25" customHeight="1">
      <c r="A60" s="646"/>
      <c r="B60" s="647" t="s">
        <v>22</v>
      </c>
      <c r="C60" s="648"/>
      <c r="D60" s="624">
        <f>SUM(D61:D65)</f>
        <v>78875000</v>
      </c>
      <c r="E60" s="625"/>
      <c r="F60" s="625" t="s">
        <v>21</v>
      </c>
      <c r="G60" s="624">
        <f t="shared" ref="G60:P60" si="11">SUM(G61:G65)</f>
        <v>0</v>
      </c>
      <c r="H60" s="624">
        <f t="shared" si="11"/>
        <v>0</v>
      </c>
      <c r="I60" s="624">
        <f t="shared" si="11"/>
        <v>0</v>
      </c>
      <c r="J60" s="624">
        <f t="shared" si="11"/>
        <v>0</v>
      </c>
      <c r="K60" s="624">
        <f t="shared" si="11"/>
        <v>0</v>
      </c>
      <c r="L60" s="624">
        <f t="shared" si="11"/>
        <v>195160000</v>
      </c>
      <c r="M60" s="624">
        <f t="shared" si="11"/>
        <v>0</v>
      </c>
      <c r="N60" s="624">
        <f t="shared" si="11"/>
        <v>0</v>
      </c>
      <c r="O60" s="624">
        <f t="shared" si="11"/>
        <v>0</v>
      </c>
      <c r="P60" s="627">
        <f t="shared" si="11"/>
        <v>0</v>
      </c>
      <c r="Q60" s="601"/>
    </row>
    <row r="61" spans="1:17" s="586" customFormat="1" ht="41.25" customHeight="1">
      <c r="A61" s="596" t="s">
        <v>966</v>
      </c>
      <c r="B61" s="599" t="s">
        <v>23</v>
      </c>
      <c r="C61" s="614" t="s">
        <v>1116</v>
      </c>
      <c r="D61" s="590">
        <v>10500000</v>
      </c>
      <c r="E61" s="591"/>
      <c r="F61" s="591" t="s">
        <v>21</v>
      </c>
      <c r="G61" s="592">
        <v>0</v>
      </c>
      <c r="H61" s="592">
        <v>0</v>
      </c>
      <c r="I61" s="592">
        <v>0</v>
      </c>
      <c r="J61" s="592">
        <v>0</v>
      </c>
      <c r="K61" s="592">
        <v>0</v>
      </c>
      <c r="L61" s="592">
        <v>68560000</v>
      </c>
      <c r="M61" s="592">
        <v>0</v>
      </c>
      <c r="N61" s="592">
        <v>0</v>
      </c>
      <c r="O61" s="592">
        <v>0</v>
      </c>
      <c r="P61" s="605">
        <v>0</v>
      </c>
      <c r="Q61" s="609"/>
    </row>
    <row r="62" spans="1:17" s="586" customFormat="1" ht="29.25" customHeight="1">
      <c r="A62" s="596"/>
      <c r="B62" s="642" t="s">
        <v>24</v>
      </c>
      <c r="C62" s="614" t="s">
        <v>1116</v>
      </c>
      <c r="D62" s="590">
        <v>10350000</v>
      </c>
      <c r="E62" s="591"/>
      <c r="F62" s="591" t="s">
        <v>21</v>
      </c>
      <c r="G62" s="592">
        <v>0</v>
      </c>
      <c r="H62" s="592">
        <v>0</v>
      </c>
      <c r="I62" s="592">
        <v>0</v>
      </c>
      <c r="J62" s="592">
        <v>0</v>
      </c>
      <c r="K62" s="592">
        <v>0</v>
      </c>
      <c r="L62" s="592">
        <v>15000000</v>
      </c>
      <c r="M62" s="592">
        <v>0</v>
      </c>
      <c r="N62" s="592">
        <v>0</v>
      </c>
      <c r="O62" s="592">
        <v>0</v>
      </c>
      <c r="P62" s="605">
        <v>0</v>
      </c>
      <c r="Q62" s="609"/>
    </row>
    <row r="63" spans="1:17" s="586" customFormat="1" ht="29.25" customHeight="1">
      <c r="A63" s="596" t="s">
        <v>1042</v>
      </c>
      <c r="B63" s="642" t="s">
        <v>132</v>
      </c>
      <c r="C63" s="614" t="s">
        <v>1116</v>
      </c>
      <c r="D63" s="590">
        <v>10625000</v>
      </c>
      <c r="E63" s="591"/>
      <c r="F63" s="591" t="s">
        <v>21</v>
      </c>
      <c r="G63" s="592"/>
      <c r="H63" s="592"/>
      <c r="I63" s="592"/>
      <c r="J63" s="592"/>
      <c r="K63" s="592"/>
      <c r="L63" s="592">
        <f>2250000*12</f>
        <v>27000000</v>
      </c>
      <c r="M63" s="592"/>
      <c r="N63" s="592"/>
      <c r="O63" s="592"/>
      <c r="P63" s="605"/>
      <c r="Q63" s="609"/>
    </row>
    <row r="64" spans="1:17" s="586" customFormat="1" ht="29.25" customHeight="1">
      <c r="A64" s="596" t="s">
        <v>1037</v>
      </c>
      <c r="B64" s="642" t="s">
        <v>57</v>
      </c>
      <c r="C64" s="614" t="s">
        <v>1116</v>
      </c>
      <c r="D64" s="590">
        <v>10200000</v>
      </c>
      <c r="E64" s="591"/>
      <c r="F64" s="591" t="s">
        <v>21</v>
      </c>
      <c r="G64" s="592">
        <v>0</v>
      </c>
      <c r="H64" s="592">
        <v>0</v>
      </c>
      <c r="I64" s="592">
        <v>0</v>
      </c>
      <c r="J64" s="592">
        <v>0</v>
      </c>
      <c r="K64" s="592">
        <v>0</v>
      </c>
      <c r="L64" s="592">
        <v>14040000</v>
      </c>
      <c r="M64" s="592">
        <v>0</v>
      </c>
      <c r="N64" s="592">
        <v>0</v>
      </c>
      <c r="O64" s="592">
        <v>0</v>
      </c>
      <c r="P64" s="605">
        <v>0</v>
      </c>
      <c r="Q64" s="609"/>
    </row>
    <row r="65" spans="1:17" s="586" customFormat="1" ht="29.25" customHeight="1">
      <c r="A65" s="596" t="s">
        <v>1055</v>
      </c>
      <c r="B65" s="642" t="s">
        <v>137</v>
      </c>
      <c r="C65" s="614" t="s">
        <v>1116</v>
      </c>
      <c r="D65" s="590">
        <v>37200000</v>
      </c>
      <c r="E65" s="591"/>
      <c r="F65" s="591" t="s">
        <v>21</v>
      </c>
      <c r="G65" s="592"/>
      <c r="H65" s="592"/>
      <c r="I65" s="592"/>
      <c r="J65" s="592"/>
      <c r="K65" s="592"/>
      <c r="L65" s="592">
        <v>70560000</v>
      </c>
      <c r="M65" s="592"/>
      <c r="N65" s="592"/>
      <c r="O65" s="592"/>
      <c r="P65" s="605"/>
      <c r="Q65" s="609"/>
    </row>
    <row r="66" spans="1:17" s="581" customFormat="1" ht="39.75" customHeight="1">
      <c r="A66" s="631"/>
      <c r="B66" s="647" t="s">
        <v>25</v>
      </c>
      <c r="C66" s="648"/>
      <c r="D66" s="624">
        <f>SUM(D67:D71)</f>
        <v>1073997000</v>
      </c>
      <c r="E66" s="625"/>
      <c r="F66" s="625" t="s">
        <v>1057</v>
      </c>
      <c r="G66" s="624">
        <f t="shared" ref="G66:P66" si="12">SUM(G67:G71)</f>
        <v>0</v>
      </c>
      <c r="H66" s="624">
        <f t="shared" si="12"/>
        <v>0</v>
      </c>
      <c r="I66" s="624">
        <f t="shared" si="12"/>
        <v>0</v>
      </c>
      <c r="J66" s="624">
        <f t="shared" si="12"/>
        <v>0</v>
      </c>
      <c r="K66" s="624">
        <f t="shared" si="12"/>
        <v>0</v>
      </c>
      <c r="L66" s="624">
        <f t="shared" si="12"/>
        <v>702201500</v>
      </c>
      <c r="M66" s="624">
        <f t="shared" si="12"/>
        <v>0</v>
      </c>
      <c r="N66" s="624">
        <f t="shared" si="12"/>
        <v>0</v>
      </c>
      <c r="O66" s="624">
        <f t="shared" si="12"/>
        <v>350000000</v>
      </c>
      <c r="P66" s="627">
        <f t="shared" si="12"/>
        <v>22000000</v>
      </c>
      <c r="Q66" s="601"/>
    </row>
    <row r="67" spans="1:17" s="586" customFormat="1" ht="38.25" customHeight="1">
      <c r="A67" s="596" t="s">
        <v>1058</v>
      </c>
      <c r="B67" s="633" t="s">
        <v>918</v>
      </c>
      <c r="C67" s="614" t="s">
        <v>1116</v>
      </c>
      <c r="D67" s="590">
        <v>215085000</v>
      </c>
      <c r="E67" s="591"/>
      <c r="F67" s="591" t="s">
        <v>1057</v>
      </c>
      <c r="G67" s="592">
        <v>0</v>
      </c>
      <c r="H67" s="592">
        <v>0</v>
      </c>
      <c r="I67" s="592">
        <v>0</v>
      </c>
      <c r="J67" s="592">
        <v>0</v>
      </c>
      <c r="K67" s="592">
        <v>0</v>
      </c>
      <c r="L67" s="592">
        <f>400000000+22201500-5000000-200000000</f>
        <v>217201500</v>
      </c>
      <c r="M67" s="592">
        <v>0</v>
      </c>
      <c r="N67" s="592">
        <v>0</v>
      </c>
      <c r="O67" s="592">
        <v>295000000</v>
      </c>
      <c r="P67" s="605">
        <f>42000000+40000000-40000000-20000000</f>
        <v>22000000</v>
      </c>
      <c r="Q67" s="609"/>
    </row>
    <row r="68" spans="1:17" s="586" customFormat="1" ht="39.75" customHeight="1">
      <c r="A68" s="596" t="s">
        <v>1059</v>
      </c>
      <c r="B68" s="599" t="s">
        <v>920</v>
      </c>
      <c r="C68" s="614" t="s">
        <v>1116</v>
      </c>
      <c r="D68" s="590">
        <v>458912000</v>
      </c>
      <c r="E68" s="591"/>
      <c r="F68" s="591" t="s">
        <v>1130</v>
      </c>
      <c r="G68" s="592">
        <v>0</v>
      </c>
      <c r="H68" s="592">
        <v>0</v>
      </c>
      <c r="I68" s="592">
        <v>0</v>
      </c>
      <c r="J68" s="592">
        <v>0</v>
      </c>
      <c r="K68" s="592">
        <v>0</v>
      </c>
      <c r="L68" s="592">
        <f>14*10000000</f>
        <v>140000000</v>
      </c>
      <c r="M68" s="592">
        <v>0</v>
      </c>
      <c r="N68" s="592">
        <v>0</v>
      </c>
      <c r="O68" s="592">
        <v>0</v>
      </c>
      <c r="P68" s="605">
        <v>0</v>
      </c>
      <c r="Q68" s="609"/>
    </row>
    <row r="69" spans="1:17" s="586" customFormat="1" ht="43.5" customHeight="1">
      <c r="A69" s="596">
        <v>12</v>
      </c>
      <c r="B69" s="599" t="s">
        <v>142</v>
      </c>
      <c r="C69" s="614" t="s">
        <v>1116</v>
      </c>
      <c r="D69" s="590">
        <f t="shared" ref="D69:D71" si="13">SUM(F69:P69)</f>
        <v>175000000</v>
      </c>
      <c r="E69" s="591"/>
      <c r="F69" s="591" t="s">
        <v>21</v>
      </c>
      <c r="G69" s="592">
        <v>0</v>
      </c>
      <c r="H69" s="592">
        <v>0</v>
      </c>
      <c r="I69" s="592">
        <v>0</v>
      </c>
      <c r="J69" s="592">
        <v>0</v>
      </c>
      <c r="K69" s="592">
        <v>0</v>
      </c>
      <c r="L69" s="592">
        <v>175000000</v>
      </c>
      <c r="M69" s="592">
        <v>0</v>
      </c>
      <c r="N69" s="592">
        <v>0</v>
      </c>
      <c r="O69" s="592">
        <v>0</v>
      </c>
      <c r="P69" s="605">
        <v>0</v>
      </c>
      <c r="Q69" s="609"/>
    </row>
    <row r="70" spans="1:17" s="586" customFormat="1" ht="43.5" customHeight="1">
      <c r="A70" s="596" t="s">
        <v>1060</v>
      </c>
      <c r="B70" s="599" t="s">
        <v>921</v>
      </c>
      <c r="C70" s="614" t="s">
        <v>1116</v>
      </c>
      <c r="D70" s="590">
        <f t="shared" si="13"/>
        <v>170000000</v>
      </c>
      <c r="E70" s="591"/>
      <c r="F70" s="591" t="s">
        <v>21</v>
      </c>
      <c r="G70" s="592">
        <v>0</v>
      </c>
      <c r="H70" s="592">
        <v>0</v>
      </c>
      <c r="I70" s="592">
        <v>0</v>
      </c>
      <c r="J70" s="592">
        <v>0</v>
      </c>
      <c r="K70" s="592">
        <v>0</v>
      </c>
      <c r="L70" s="592">
        <f>150000000+20000000</f>
        <v>170000000</v>
      </c>
      <c r="M70" s="592">
        <v>0</v>
      </c>
      <c r="N70" s="592">
        <v>0</v>
      </c>
      <c r="O70" s="592">
        <v>0</v>
      </c>
      <c r="P70" s="605">
        <v>0</v>
      </c>
      <c r="Q70" s="609"/>
    </row>
    <row r="71" spans="1:17" s="586" customFormat="1" ht="43.5" customHeight="1">
      <c r="A71" s="596" t="s">
        <v>1061</v>
      </c>
      <c r="B71" s="599" t="s">
        <v>1062</v>
      </c>
      <c r="C71" s="614" t="s">
        <v>1116</v>
      </c>
      <c r="D71" s="590">
        <f t="shared" si="13"/>
        <v>55000000</v>
      </c>
      <c r="E71" s="591"/>
      <c r="F71" s="591" t="s">
        <v>21</v>
      </c>
      <c r="G71" s="592">
        <v>0</v>
      </c>
      <c r="H71" s="592">
        <v>0</v>
      </c>
      <c r="I71" s="592">
        <v>0</v>
      </c>
      <c r="J71" s="592">
        <v>0</v>
      </c>
      <c r="K71" s="592">
        <v>0</v>
      </c>
      <c r="L71" s="592"/>
      <c r="M71" s="592">
        <v>0</v>
      </c>
      <c r="N71" s="592">
        <v>0</v>
      </c>
      <c r="O71" s="592">
        <f>85000000-30000000</f>
        <v>55000000</v>
      </c>
      <c r="P71" s="605">
        <v>0</v>
      </c>
      <c r="Q71" s="609"/>
    </row>
    <row r="72" spans="1:17" s="581" customFormat="1" ht="32.25" customHeight="1">
      <c r="A72" s="646"/>
      <c r="B72" s="647" t="s">
        <v>1064</v>
      </c>
      <c r="C72" s="648"/>
      <c r="D72" s="624">
        <f>SUM(D75:D75)</f>
        <v>9873000</v>
      </c>
      <c r="E72" s="625"/>
      <c r="F72" s="625" t="s">
        <v>21</v>
      </c>
      <c r="G72" s="624">
        <f t="shared" ref="G72:O72" si="14">SUM(G75:G75)</f>
        <v>0</v>
      </c>
      <c r="H72" s="624">
        <f t="shared" si="14"/>
        <v>0</v>
      </c>
      <c r="I72" s="624">
        <f t="shared" si="14"/>
        <v>0</v>
      </c>
      <c r="J72" s="624">
        <f t="shared" si="14"/>
        <v>0</v>
      </c>
      <c r="K72" s="624">
        <f t="shared" si="14"/>
        <v>0</v>
      </c>
      <c r="L72" s="624">
        <f t="shared" si="14"/>
        <v>74000000</v>
      </c>
      <c r="M72" s="624">
        <f t="shared" si="14"/>
        <v>0</v>
      </c>
      <c r="N72" s="624">
        <f t="shared" si="14"/>
        <v>0</v>
      </c>
      <c r="O72" s="624">
        <f t="shared" si="14"/>
        <v>0</v>
      </c>
      <c r="P72" s="627">
        <f t="shared" ref="P72" si="15">SUM(P75:P75)</f>
        <v>0</v>
      </c>
      <c r="Q72" s="601"/>
    </row>
    <row r="73" spans="1:17" s="581" customFormat="1" ht="32.25" customHeight="1">
      <c r="A73" s="646"/>
      <c r="B73" s="649" t="s">
        <v>147</v>
      </c>
      <c r="C73" s="648"/>
      <c r="D73" s="590">
        <v>37500000</v>
      </c>
      <c r="E73" s="625"/>
      <c r="F73" s="625"/>
      <c r="G73" s="624"/>
      <c r="H73" s="624"/>
      <c r="I73" s="624"/>
      <c r="J73" s="624"/>
      <c r="K73" s="624"/>
      <c r="L73" s="624"/>
      <c r="M73" s="624"/>
      <c r="N73" s="624"/>
      <c r="O73" s="624"/>
      <c r="P73" s="627"/>
      <c r="Q73" s="601"/>
    </row>
    <row r="74" spans="1:17" s="581" customFormat="1" ht="32.25" customHeight="1">
      <c r="A74" s="646"/>
      <c r="B74" s="649" t="s">
        <v>1131</v>
      </c>
      <c r="C74" s="648"/>
      <c r="D74" s="590">
        <v>17469000</v>
      </c>
      <c r="E74" s="625"/>
      <c r="F74" s="625"/>
      <c r="G74" s="624"/>
      <c r="H74" s="624"/>
      <c r="I74" s="624"/>
      <c r="J74" s="624"/>
      <c r="K74" s="624"/>
      <c r="L74" s="624"/>
      <c r="M74" s="624"/>
      <c r="N74" s="624"/>
      <c r="O74" s="624"/>
      <c r="P74" s="627"/>
      <c r="Q74" s="601"/>
    </row>
    <row r="75" spans="1:17" s="583" customFormat="1" ht="36" customHeight="1">
      <c r="A75" s="596" t="s">
        <v>1042</v>
      </c>
      <c r="B75" s="642" t="s">
        <v>1065</v>
      </c>
      <c r="C75" s="614"/>
      <c r="D75" s="590">
        <v>9873000</v>
      </c>
      <c r="E75" s="591"/>
      <c r="F75" s="591" t="s">
        <v>21</v>
      </c>
      <c r="G75" s="590">
        <v>0</v>
      </c>
      <c r="H75" s="590">
        <v>0</v>
      </c>
      <c r="I75" s="590">
        <v>0</v>
      </c>
      <c r="J75" s="590">
        <v>0</v>
      </c>
      <c r="K75" s="590">
        <v>0</v>
      </c>
      <c r="L75" s="590">
        <v>74000000</v>
      </c>
      <c r="M75" s="590">
        <v>0</v>
      </c>
      <c r="N75" s="590">
        <v>0</v>
      </c>
      <c r="O75" s="590">
        <v>0</v>
      </c>
      <c r="P75" s="606">
        <v>0</v>
      </c>
      <c r="Q75" s="584"/>
    </row>
    <row r="76" spans="1:17" s="597" customFormat="1" ht="27.95" customHeight="1">
      <c r="A76" s="646"/>
      <c r="B76" s="647" t="s">
        <v>1066</v>
      </c>
      <c r="C76" s="648"/>
      <c r="D76" s="650">
        <f>SUM(D77:D77)</f>
        <v>4000000</v>
      </c>
      <c r="E76" s="625"/>
      <c r="F76" s="625" t="s">
        <v>21</v>
      </c>
      <c r="G76" s="650">
        <f t="shared" ref="G76:P76" si="16">SUM(G77:G77)</f>
        <v>0</v>
      </c>
      <c r="H76" s="650">
        <f t="shared" si="16"/>
        <v>0</v>
      </c>
      <c r="I76" s="650">
        <f t="shared" si="16"/>
        <v>0</v>
      </c>
      <c r="J76" s="650">
        <f t="shared" si="16"/>
        <v>0</v>
      </c>
      <c r="K76" s="650">
        <f t="shared" si="16"/>
        <v>0</v>
      </c>
      <c r="L76" s="650">
        <f t="shared" si="16"/>
        <v>8050000</v>
      </c>
      <c r="M76" s="650">
        <f t="shared" si="16"/>
        <v>0</v>
      </c>
      <c r="N76" s="650">
        <f t="shared" si="16"/>
        <v>0</v>
      </c>
      <c r="O76" s="650">
        <f t="shared" si="16"/>
        <v>0</v>
      </c>
      <c r="P76" s="651">
        <f t="shared" si="16"/>
        <v>0</v>
      </c>
      <c r="Q76" s="612"/>
    </row>
    <row r="77" spans="1:17" s="579" customFormat="1" ht="53.25" customHeight="1">
      <c r="A77" s="596" t="s">
        <v>966</v>
      </c>
      <c r="B77" s="599" t="s">
        <v>28</v>
      </c>
      <c r="C77" s="614" t="s">
        <v>1116</v>
      </c>
      <c r="D77" s="615">
        <v>4000000</v>
      </c>
      <c r="E77" s="591"/>
      <c r="F77" s="591" t="s">
        <v>21</v>
      </c>
      <c r="G77" s="615">
        <v>0</v>
      </c>
      <c r="H77" s="615">
        <v>0</v>
      </c>
      <c r="I77" s="615">
        <v>0</v>
      </c>
      <c r="J77" s="615">
        <v>0</v>
      </c>
      <c r="K77" s="615">
        <v>0</v>
      </c>
      <c r="L77" s="615">
        <v>8050000</v>
      </c>
      <c r="M77" s="615">
        <v>0</v>
      </c>
      <c r="N77" s="615">
        <v>0</v>
      </c>
      <c r="O77" s="615">
        <v>0</v>
      </c>
      <c r="P77" s="652">
        <v>0</v>
      </c>
      <c r="Q77" s="598"/>
    </row>
    <row r="78" spans="1:17" s="581" customFormat="1" ht="27" customHeight="1">
      <c r="A78" s="646"/>
      <c r="B78" s="647" t="s">
        <v>29</v>
      </c>
      <c r="C78" s="648"/>
      <c r="D78" s="624">
        <f>SUM(D79:D80)</f>
        <v>5000000</v>
      </c>
      <c r="E78" s="625"/>
      <c r="F78" s="625" t="s">
        <v>21</v>
      </c>
      <c r="G78" s="624">
        <f t="shared" ref="G78:P78" si="17">SUM(G79:G80)</f>
        <v>0</v>
      </c>
      <c r="H78" s="624">
        <f t="shared" si="17"/>
        <v>0</v>
      </c>
      <c r="I78" s="624">
        <f t="shared" si="17"/>
        <v>0</v>
      </c>
      <c r="J78" s="624">
        <f t="shared" si="17"/>
        <v>0</v>
      </c>
      <c r="K78" s="624">
        <f t="shared" si="17"/>
        <v>0</v>
      </c>
      <c r="L78" s="624">
        <f t="shared" si="17"/>
        <v>5000000</v>
      </c>
      <c r="M78" s="624">
        <f t="shared" si="17"/>
        <v>0</v>
      </c>
      <c r="N78" s="624">
        <f t="shared" si="17"/>
        <v>0</v>
      </c>
      <c r="O78" s="624">
        <f t="shared" si="17"/>
        <v>0</v>
      </c>
      <c r="P78" s="627">
        <f t="shared" si="17"/>
        <v>0</v>
      </c>
      <c r="Q78" s="601"/>
    </row>
    <row r="79" spans="1:17" s="583" customFormat="1" ht="42" customHeight="1">
      <c r="A79" s="596" t="s">
        <v>925</v>
      </c>
      <c r="B79" s="633" t="s">
        <v>161</v>
      </c>
      <c r="C79" s="614" t="s">
        <v>1116</v>
      </c>
      <c r="D79" s="590">
        <f>SUM(F79:P79)</f>
        <v>5000000</v>
      </c>
      <c r="E79" s="591"/>
      <c r="F79" s="591" t="s">
        <v>914</v>
      </c>
      <c r="G79" s="590">
        <v>0</v>
      </c>
      <c r="H79" s="590">
        <v>0</v>
      </c>
      <c r="I79" s="590">
        <v>0</v>
      </c>
      <c r="J79" s="590">
        <v>0</v>
      </c>
      <c r="K79" s="590">
        <v>0</v>
      </c>
      <c r="L79" s="590">
        <v>5000000</v>
      </c>
      <c r="M79" s="590"/>
      <c r="N79" s="590">
        <v>0</v>
      </c>
      <c r="O79" s="590">
        <v>0</v>
      </c>
      <c r="P79" s="606">
        <v>0</v>
      </c>
      <c r="Q79" s="584"/>
    </row>
    <row r="80" spans="1:17" s="583" customFormat="1" ht="27" customHeight="1">
      <c r="A80" s="596" t="s">
        <v>1030</v>
      </c>
      <c r="B80" s="653" t="s">
        <v>1068</v>
      </c>
      <c r="C80" s="654"/>
      <c r="D80" s="590">
        <f>SUM(F80:P80)</f>
        <v>0</v>
      </c>
      <c r="E80" s="591"/>
      <c r="F80" s="591"/>
      <c r="G80" s="590">
        <v>0</v>
      </c>
      <c r="H80" s="590">
        <v>0</v>
      </c>
      <c r="I80" s="590">
        <v>0</v>
      </c>
      <c r="J80" s="590">
        <v>0</v>
      </c>
      <c r="K80" s="590">
        <v>0</v>
      </c>
      <c r="L80" s="590">
        <v>0</v>
      </c>
      <c r="M80" s="590">
        <v>0</v>
      </c>
      <c r="N80" s="590">
        <v>0</v>
      </c>
      <c r="O80" s="590">
        <v>0</v>
      </c>
      <c r="P80" s="606">
        <v>0</v>
      </c>
      <c r="Q80" s="584"/>
    </row>
    <row r="81" spans="1:17" s="581" customFormat="1" ht="52.5" customHeight="1">
      <c r="A81" s="631"/>
      <c r="B81" s="623" t="s">
        <v>1069</v>
      </c>
      <c r="C81" s="622"/>
      <c r="D81" s="624">
        <f>D82+D86+D94+D97</f>
        <v>79655970</v>
      </c>
      <c r="E81" s="625"/>
      <c r="F81" s="626" t="s">
        <v>321</v>
      </c>
      <c r="G81" s="624">
        <f t="shared" ref="G81:P81" si="18">G82+G86+G94+G97</f>
        <v>0</v>
      </c>
      <c r="H81" s="624">
        <f t="shared" si="18"/>
        <v>0</v>
      </c>
      <c r="I81" s="624">
        <f t="shared" si="18"/>
        <v>0</v>
      </c>
      <c r="J81" s="624">
        <f t="shared" si="18"/>
        <v>2250000</v>
      </c>
      <c r="K81" s="624">
        <f t="shared" si="18"/>
        <v>1500000</v>
      </c>
      <c r="L81" s="624">
        <f t="shared" si="18"/>
        <v>0</v>
      </c>
      <c r="M81" s="624">
        <f t="shared" si="18"/>
        <v>2000000</v>
      </c>
      <c r="N81" s="624">
        <f t="shared" si="18"/>
        <v>41407500</v>
      </c>
      <c r="O81" s="624">
        <f t="shared" si="18"/>
        <v>0</v>
      </c>
      <c r="P81" s="627">
        <f t="shared" si="18"/>
        <v>0</v>
      </c>
      <c r="Q81" s="601"/>
    </row>
    <row r="82" spans="1:17" s="585" customFormat="1" ht="19.5" customHeight="1">
      <c r="A82" s="631"/>
      <c r="B82" s="623" t="s">
        <v>1070</v>
      </c>
      <c r="C82" s="622"/>
      <c r="D82" s="624">
        <f>SUM(D83:D85)</f>
        <v>13855000</v>
      </c>
      <c r="E82" s="625"/>
      <c r="F82" s="624">
        <f t="shared" ref="F82:P82" si="19">SUM(F83:F85)</f>
        <v>0</v>
      </c>
      <c r="G82" s="628">
        <f t="shared" si="19"/>
        <v>0</v>
      </c>
      <c r="H82" s="628">
        <f t="shared" si="19"/>
        <v>0</v>
      </c>
      <c r="I82" s="628">
        <f t="shared" si="19"/>
        <v>0</v>
      </c>
      <c r="J82" s="628">
        <f t="shared" si="19"/>
        <v>0</v>
      </c>
      <c r="K82" s="628">
        <f t="shared" si="19"/>
        <v>0</v>
      </c>
      <c r="L82" s="628">
        <f t="shared" si="19"/>
        <v>0</v>
      </c>
      <c r="M82" s="628">
        <f t="shared" si="19"/>
        <v>0</v>
      </c>
      <c r="N82" s="628">
        <f t="shared" si="19"/>
        <v>10675000</v>
      </c>
      <c r="O82" s="628">
        <f t="shared" si="19"/>
        <v>0</v>
      </c>
      <c r="P82" s="629">
        <f t="shared" si="19"/>
        <v>0</v>
      </c>
      <c r="Q82" s="608"/>
    </row>
    <row r="83" spans="1:17" s="583" customFormat="1" ht="36.75" customHeight="1">
      <c r="A83" s="596" t="s">
        <v>966</v>
      </c>
      <c r="B83" s="599" t="s">
        <v>1071</v>
      </c>
      <c r="C83" s="614" t="s">
        <v>1116</v>
      </c>
      <c r="D83" s="590">
        <v>6355000</v>
      </c>
      <c r="E83" s="591"/>
      <c r="F83" s="591" t="s">
        <v>31</v>
      </c>
      <c r="G83" s="590">
        <v>0</v>
      </c>
      <c r="H83" s="590">
        <v>0</v>
      </c>
      <c r="I83" s="590">
        <v>0</v>
      </c>
      <c r="J83" s="590">
        <v>0</v>
      </c>
      <c r="K83" s="590">
        <v>0</v>
      </c>
      <c r="L83" s="590">
        <v>0</v>
      </c>
      <c r="M83" s="590">
        <v>0</v>
      </c>
      <c r="N83" s="590">
        <v>3175000</v>
      </c>
      <c r="O83" s="590">
        <v>0</v>
      </c>
      <c r="P83" s="606">
        <v>0</v>
      </c>
      <c r="Q83" s="584"/>
    </row>
    <row r="84" spans="1:17" s="583" customFormat="1" ht="36.75" customHeight="1">
      <c r="A84" s="596" t="s">
        <v>925</v>
      </c>
      <c r="B84" s="599" t="s">
        <v>171</v>
      </c>
      <c r="C84" s="614" t="s">
        <v>1116</v>
      </c>
      <c r="D84" s="590">
        <f>SUM(F84:P84)</f>
        <v>4000000</v>
      </c>
      <c r="E84" s="591"/>
      <c r="F84" s="591" t="s">
        <v>31</v>
      </c>
      <c r="G84" s="590">
        <v>0</v>
      </c>
      <c r="H84" s="590">
        <v>0</v>
      </c>
      <c r="I84" s="590">
        <v>0</v>
      </c>
      <c r="J84" s="590">
        <v>0</v>
      </c>
      <c r="K84" s="590">
        <v>0</v>
      </c>
      <c r="L84" s="590">
        <v>0</v>
      </c>
      <c r="M84" s="590">
        <v>0</v>
      </c>
      <c r="N84" s="590">
        <f>4*1000000</f>
        <v>4000000</v>
      </c>
      <c r="O84" s="590"/>
      <c r="P84" s="606">
        <v>0</v>
      </c>
      <c r="Q84" s="584"/>
    </row>
    <row r="85" spans="1:17" s="583" customFormat="1" ht="36.75" customHeight="1">
      <c r="A85" s="596" t="s">
        <v>319</v>
      </c>
      <c r="B85" s="599" t="s">
        <v>320</v>
      </c>
      <c r="C85" s="614" t="s">
        <v>1116</v>
      </c>
      <c r="D85" s="590">
        <f>SUM(F85:P85)</f>
        <v>3500000</v>
      </c>
      <c r="E85" s="591"/>
      <c r="F85" s="591" t="s">
        <v>31</v>
      </c>
      <c r="G85" s="590">
        <v>0</v>
      </c>
      <c r="H85" s="590">
        <v>0</v>
      </c>
      <c r="I85" s="590">
        <v>0</v>
      </c>
      <c r="J85" s="590">
        <v>0</v>
      </c>
      <c r="K85" s="590">
        <v>0</v>
      </c>
      <c r="L85" s="590">
        <v>0</v>
      </c>
      <c r="M85" s="590">
        <v>0</v>
      </c>
      <c r="N85" s="590">
        <v>3500000</v>
      </c>
      <c r="O85" s="590">
        <v>0</v>
      </c>
      <c r="P85" s="606">
        <v>0</v>
      </c>
      <c r="Q85" s="584"/>
    </row>
    <row r="86" spans="1:17" s="581" customFormat="1" ht="25.5" customHeight="1">
      <c r="A86" s="646"/>
      <c r="B86" s="655" t="s">
        <v>176</v>
      </c>
      <c r="C86" s="656"/>
      <c r="D86" s="624">
        <f>SUM(D87:D93)</f>
        <v>42265950</v>
      </c>
      <c r="E86" s="625"/>
      <c r="F86" s="625" t="s">
        <v>31</v>
      </c>
      <c r="G86" s="624">
        <f t="shared" ref="G86:P86" si="20">SUM(G87:G93)</f>
        <v>0</v>
      </c>
      <c r="H86" s="624">
        <f t="shared" si="20"/>
        <v>0</v>
      </c>
      <c r="I86" s="624">
        <f t="shared" si="20"/>
        <v>0</v>
      </c>
      <c r="J86" s="624">
        <f t="shared" si="20"/>
        <v>0</v>
      </c>
      <c r="K86" s="624">
        <f t="shared" si="20"/>
        <v>0</v>
      </c>
      <c r="L86" s="624">
        <f t="shared" si="20"/>
        <v>0</v>
      </c>
      <c r="M86" s="624">
        <f t="shared" si="20"/>
        <v>0</v>
      </c>
      <c r="N86" s="624">
        <f>SUM(N87:N93)</f>
        <v>25250000</v>
      </c>
      <c r="O86" s="624">
        <f t="shared" si="20"/>
        <v>0</v>
      </c>
      <c r="P86" s="627">
        <f t="shared" si="20"/>
        <v>0</v>
      </c>
      <c r="Q86" s="601"/>
    </row>
    <row r="87" spans="1:17" s="600" customFormat="1" ht="51" customHeight="1">
      <c r="A87" s="596" t="s">
        <v>960</v>
      </c>
      <c r="B87" s="599" t="s">
        <v>177</v>
      </c>
      <c r="C87" s="614" t="s">
        <v>1116</v>
      </c>
      <c r="D87" s="590">
        <f t="shared" ref="D87:D93" si="21">SUM(F87:P87)</f>
        <v>5000000</v>
      </c>
      <c r="E87" s="591"/>
      <c r="F87" s="591" t="s">
        <v>31</v>
      </c>
      <c r="G87" s="590"/>
      <c r="H87" s="590">
        <v>0</v>
      </c>
      <c r="I87" s="590">
        <v>0</v>
      </c>
      <c r="J87" s="590">
        <v>0</v>
      </c>
      <c r="K87" s="590">
        <v>0</v>
      </c>
      <c r="L87" s="590">
        <v>0</v>
      </c>
      <c r="M87" s="590"/>
      <c r="N87" s="590">
        <v>5000000</v>
      </c>
      <c r="O87" s="590">
        <v>0</v>
      </c>
      <c r="P87" s="606">
        <v>0</v>
      </c>
      <c r="Q87" s="587"/>
    </row>
    <row r="88" spans="1:17" s="583" customFormat="1" ht="51" customHeight="1">
      <c r="A88" s="596" t="s">
        <v>968</v>
      </c>
      <c r="B88" s="599" t="s">
        <v>1072</v>
      </c>
      <c r="C88" s="614" t="s">
        <v>1116</v>
      </c>
      <c r="D88" s="590">
        <v>23365950</v>
      </c>
      <c r="E88" s="591"/>
      <c r="F88" s="591" t="s">
        <v>321</v>
      </c>
      <c r="G88" s="590"/>
      <c r="H88" s="590">
        <v>0</v>
      </c>
      <c r="I88" s="590">
        <v>0</v>
      </c>
      <c r="J88" s="590">
        <v>0</v>
      </c>
      <c r="K88" s="590">
        <v>0</v>
      </c>
      <c r="L88" s="590">
        <v>0</v>
      </c>
      <c r="M88" s="590"/>
      <c r="N88" s="590">
        <v>5000000</v>
      </c>
      <c r="O88" s="590">
        <v>0</v>
      </c>
      <c r="P88" s="606">
        <v>0</v>
      </c>
      <c r="Q88" s="584"/>
    </row>
    <row r="89" spans="1:17" s="583" customFormat="1" ht="47.25" customHeight="1">
      <c r="A89" s="596" t="s">
        <v>970</v>
      </c>
      <c r="B89" s="599" t="s">
        <v>1073</v>
      </c>
      <c r="C89" s="614" t="s">
        <v>1116</v>
      </c>
      <c r="D89" s="590">
        <f t="shared" si="21"/>
        <v>2000000</v>
      </c>
      <c r="E89" s="591"/>
      <c r="F89" s="591" t="s">
        <v>31</v>
      </c>
      <c r="G89" s="590">
        <v>0</v>
      </c>
      <c r="H89" s="590">
        <v>0</v>
      </c>
      <c r="I89" s="590">
        <v>0</v>
      </c>
      <c r="J89" s="590">
        <v>0</v>
      </c>
      <c r="K89" s="590">
        <v>0</v>
      </c>
      <c r="L89" s="590">
        <v>0</v>
      </c>
      <c r="M89" s="590">
        <v>0</v>
      </c>
      <c r="N89" s="590">
        <v>2000000</v>
      </c>
      <c r="O89" s="590">
        <v>0</v>
      </c>
      <c r="P89" s="606">
        <v>0</v>
      </c>
      <c r="Q89" s="584"/>
    </row>
    <row r="90" spans="1:17" s="583" customFormat="1" ht="32.1" customHeight="1">
      <c r="A90" s="596" t="s">
        <v>319</v>
      </c>
      <c r="B90" s="599" t="s">
        <v>59</v>
      </c>
      <c r="C90" s="614" t="s">
        <v>1118</v>
      </c>
      <c r="D90" s="590">
        <v>5400000</v>
      </c>
      <c r="E90" s="591"/>
      <c r="F90" s="591" t="s">
        <v>31</v>
      </c>
      <c r="G90" s="590">
        <v>0</v>
      </c>
      <c r="H90" s="590">
        <v>0</v>
      </c>
      <c r="I90" s="590">
        <v>0</v>
      </c>
      <c r="J90" s="590">
        <v>0</v>
      </c>
      <c r="K90" s="590">
        <v>0</v>
      </c>
      <c r="L90" s="590">
        <v>0</v>
      </c>
      <c r="M90" s="590">
        <v>0</v>
      </c>
      <c r="N90" s="590">
        <f>27*250000</f>
        <v>6750000</v>
      </c>
      <c r="O90" s="590">
        <v>0</v>
      </c>
      <c r="P90" s="606">
        <v>0</v>
      </c>
      <c r="Q90" s="584"/>
    </row>
    <row r="91" spans="1:17" s="583" customFormat="1" ht="32.1" customHeight="1">
      <c r="A91" s="596" t="s">
        <v>1042</v>
      </c>
      <c r="B91" s="599" t="s">
        <v>58</v>
      </c>
      <c r="C91" s="614" t="s">
        <v>1116</v>
      </c>
      <c r="D91" s="590">
        <f t="shared" si="21"/>
        <v>4500000</v>
      </c>
      <c r="E91" s="591"/>
      <c r="F91" s="591" t="s">
        <v>31</v>
      </c>
      <c r="G91" s="590">
        <v>0</v>
      </c>
      <c r="H91" s="590">
        <v>0</v>
      </c>
      <c r="I91" s="590">
        <v>0</v>
      </c>
      <c r="J91" s="590">
        <v>0</v>
      </c>
      <c r="K91" s="590">
        <v>0</v>
      </c>
      <c r="L91" s="590">
        <v>0</v>
      </c>
      <c r="M91" s="590">
        <v>0</v>
      </c>
      <c r="N91" s="590">
        <v>4500000</v>
      </c>
      <c r="O91" s="590">
        <v>0</v>
      </c>
      <c r="P91" s="606">
        <v>0</v>
      </c>
      <c r="Q91" s="584"/>
    </row>
    <row r="92" spans="1:17" s="583" customFormat="1" ht="36" customHeight="1">
      <c r="A92" s="596" t="s">
        <v>1074</v>
      </c>
      <c r="B92" s="599" t="s">
        <v>1075</v>
      </c>
      <c r="C92" s="614" t="s">
        <v>1116</v>
      </c>
      <c r="D92" s="590">
        <f t="shared" si="21"/>
        <v>2000000</v>
      </c>
      <c r="E92" s="591"/>
      <c r="F92" s="591" t="s">
        <v>31</v>
      </c>
      <c r="G92" s="590">
        <v>0</v>
      </c>
      <c r="H92" s="590">
        <v>0</v>
      </c>
      <c r="I92" s="590">
        <v>0</v>
      </c>
      <c r="J92" s="590">
        <v>0</v>
      </c>
      <c r="K92" s="590">
        <v>0</v>
      </c>
      <c r="L92" s="590">
        <v>0</v>
      </c>
      <c r="M92" s="590">
        <v>0</v>
      </c>
      <c r="N92" s="590">
        <v>2000000</v>
      </c>
      <c r="O92" s="590">
        <v>0</v>
      </c>
      <c r="P92" s="606">
        <v>0</v>
      </c>
      <c r="Q92" s="584"/>
    </row>
    <row r="93" spans="1:17" s="583" customFormat="1" ht="25.5" customHeight="1">
      <c r="A93" s="596" t="s">
        <v>1030</v>
      </c>
      <c r="B93" s="642" t="s">
        <v>1076</v>
      </c>
      <c r="C93" s="640"/>
      <c r="D93" s="590">
        <f t="shared" si="21"/>
        <v>0</v>
      </c>
      <c r="E93" s="591"/>
      <c r="F93" s="591" t="s">
        <v>31</v>
      </c>
      <c r="G93" s="590">
        <v>0</v>
      </c>
      <c r="H93" s="590">
        <v>0</v>
      </c>
      <c r="I93" s="590">
        <v>0</v>
      </c>
      <c r="J93" s="590">
        <v>0</v>
      </c>
      <c r="K93" s="590">
        <v>0</v>
      </c>
      <c r="L93" s="590">
        <v>0</v>
      </c>
      <c r="M93" s="590">
        <v>0</v>
      </c>
      <c r="N93" s="590">
        <v>0</v>
      </c>
      <c r="O93" s="590">
        <v>0</v>
      </c>
      <c r="P93" s="606">
        <v>0</v>
      </c>
      <c r="Q93" s="584"/>
    </row>
    <row r="94" spans="1:17" s="581" customFormat="1" ht="46.5" customHeight="1">
      <c r="A94" s="646"/>
      <c r="B94" s="623" t="s">
        <v>1077</v>
      </c>
      <c r="C94" s="622"/>
      <c r="D94" s="624">
        <f>SUM(D95:D96)</f>
        <v>8000000</v>
      </c>
      <c r="E94" s="625"/>
      <c r="F94" s="626" t="s">
        <v>401</v>
      </c>
      <c r="G94" s="624">
        <f t="shared" ref="G94:P94" si="22">SUM(G95:G96)</f>
        <v>0</v>
      </c>
      <c r="H94" s="624">
        <f t="shared" si="22"/>
        <v>0</v>
      </c>
      <c r="I94" s="624">
        <f t="shared" si="22"/>
        <v>0</v>
      </c>
      <c r="J94" s="624">
        <f t="shared" si="22"/>
        <v>0</v>
      </c>
      <c r="K94" s="624">
        <f t="shared" si="22"/>
        <v>0</v>
      </c>
      <c r="L94" s="624">
        <f t="shared" si="22"/>
        <v>0</v>
      </c>
      <c r="M94" s="624">
        <f t="shared" si="22"/>
        <v>2000000</v>
      </c>
      <c r="N94" s="624">
        <f t="shared" si="22"/>
        <v>2000000</v>
      </c>
      <c r="O94" s="624">
        <f t="shared" si="22"/>
        <v>0</v>
      </c>
      <c r="P94" s="627">
        <f t="shared" si="22"/>
        <v>0</v>
      </c>
      <c r="Q94" s="601"/>
    </row>
    <row r="95" spans="1:17" s="583" customFormat="1" ht="28.5" customHeight="1">
      <c r="A95" s="596" t="s">
        <v>319</v>
      </c>
      <c r="B95" s="633" t="s">
        <v>189</v>
      </c>
      <c r="C95" s="614" t="s">
        <v>1116</v>
      </c>
      <c r="D95" s="590">
        <f t="shared" ref="D95" si="23">SUM(F95:P95)</f>
        <v>2000000</v>
      </c>
      <c r="E95" s="591"/>
      <c r="F95" s="591" t="s">
        <v>31</v>
      </c>
      <c r="G95" s="590">
        <v>0</v>
      </c>
      <c r="H95" s="590">
        <v>0</v>
      </c>
      <c r="I95" s="590">
        <v>0</v>
      </c>
      <c r="J95" s="590">
        <v>0</v>
      </c>
      <c r="K95" s="590">
        <v>0</v>
      </c>
      <c r="L95" s="590">
        <v>0</v>
      </c>
      <c r="M95" s="590">
        <v>0</v>
      </c>
      <c r="N95" s="590">
        <v>2000000</v>
      </c>
      <c r="O95" s="590">
        <v>0</v>
      </c>
      <c r="P95" s="606">
        <v>0</v>
      </c>
      <c r="Q95" s="584"/>
    </row>
    <row r="96" spans="1:17" s="583" customFormat="1" ht="28.5" customHeight="1">
      <c r="A96" s="596" t="s">
        <v>925</v>
      </c>
      <c r="B96" s="633" t="s">
        <v>191</v>
      </c>
      <c r="C96" s="614" t="s">
        <v>1116</v>
      </c>
      <c r="D96" s="590">
        <v>6000000</v>
      </c>
      <c r="E96" s="591"/>
      <c r="F96" s="591" t="s">
        <v>9</v>
      </c>
      <c r="G96" s="590">
        <v>0</v>
      </c>
      <c r="H96" s="590">
        <v>0</v>
      </c>
      <c r="I96" s="590">
        <v>0</v>
      </c>
      <c r="J96" s="590">
        <v>0</v>
      </c>
      <c r="K96" s="590">
        <v>0</v>
      </c>
      <c r="L96" s="590">
        <v>0</v>
      </c>
      <c r="M96" s="590">
        <v>2000000</v>
      </c>
      <c r="N96" s="590"/>
      <c r="O96" s="590">
        <v>0</v>
      </c>
      <c r="P96" s="606">
        <v>0</v>
      </c>
      <c r="Q96" s="584"/>
    </row>
    <row r="97" spans="1:17" s="581" customFormat="1" ht="29.25" customHeight="1">
      <c r="A97" s="646"/>
      <c r="B97" s="647" t="s">
        <v>193</v>
      </c>
      <c r="C97" s="648"/>
      <c r="D97" s="624">
        <f>SUM(D98:D100)</f>
        <v>15535020</v>
      </c>
      <c r="E97" s="625"/>
      <c r="F97" s="625" t="s">
        <v>31</v>
      </c>
      <c r="G97" s="624">
        <f t="shared" ref="G97:P97" si="24">SUM(G98:G100)</f>
        <v>0</v>
      </c>
      <c r="H97" s="624">
        <f t="shared" si="24"/>
        <v>0</v>
      </c>
      <c r="I97" s="624">
        <f t="shared" si="24"/>
        <v>0</v>
      </c>
      <c r="J97" s="624">
        <f t="shared" si="24"/>
        <v>2250000</v>
      </c>
      <c r="K97" s="624">
        <f t="shared" si="24"/>
        <v>1500000</v>
      </c>
      <c r="L97" s="624">
        <f t="shared" si="24"/>
        <v>0</v>
      </c>
      <c r="M97" s="624">
        <f t="shared" si="24"/>
        <v>0</v>
      </c>
      <c r="N97" s="624">
        <f t="shared" si="24"/>
        <v>3482500</v>
      </c>
      <c r="O97" s="624">
        <f t="shared" si="24"/>
        <v>0</v>
      </c>
      <c r="P97" s="627">
        <f t="shared" si="24"/>
        <v>0</v>
      </c>
      <c r="Q97" s="601"/>
    </row>
    <row r="98" spans="1:17" s="583" customFormat="1" ht="29.25" customHeight="1">
      <c r="A98" s="596" t="s">
        <v>1036</v>
      </c>
      <c r="B98" s="642" t="s">
        <v>194</v>
      </c>
      <c r="C98" s="640" t="s">
        <v>910</v>
      </c>
      <c r="D98" s="590">
        <v>2633820</v>
      </c>
      <c r="E98" s="591"/>
      <c r="F98" s="591" t="s">
        <v>31</v>
      </c>
      <c r="G98" s="590">
        <v>0</v>
      </c>
      <c r="H98" s="590">
        <v>0</v>
      </c>
      <c r="I98" s="590">
        <v>0</v>
      </c>
      <c r="J98" s="590">
        <v>0</v>
      </c>
      <c r="K98" s="590">
        <v>0</v>
      </c>
      <c r="L98" s="590">
        <v>0</v>
      </c>
      <c r="M98" s="590">
        <v>0</v>
      </c>
      <c r="N98" s="590">
        <f>4000000-684800+167300</f>
        <v>3482500</v>
      </c>
      <c r="O98" s="590">
        <v>0</v>
      </c>
      <c r="P98" s="606">
        <v>0</v>
      </c>
      <c r="Q98" s="584"/>
    </row>
    <row r="99" spans="1:17" s="583" customFormat="1" ht="29.25" customHeight="1">
      <c r="A99" s="596" t="s">
        <v>1038</v>
      </c>
      <c r="B99" s="642" t="s">
        <v>196</v>
      </c>
      <c r="C99" s="640" t="s">
        <v>910</v>
      </c>
      <c r="D99" s="590">
        <v>5000000</v>
      </c>
      <c r="E99" s="591"/>
      <c r="F99" s="591" t="s">
        <v>1079</v>
      </c>
      <c r="G99" s="590">
        <v>0</v>
      </c>
      <c r="H99" s="590">
        <v>0</v>
      </c>
      <c r="I99" s="590">
        <v>0</v>
      </c>
      <c r="J99" s="590">
        <v>0</v>
      </c>
      <c r="K99" s="590">
        <v>1500000</v>
      </c>
      <c r="L99" s="590">
        <v>0</v>
      </c>
      <c r="M99" s="590">
        <v>0</v>
      </c>
      <c r="N99" s="590"/>
      <c r="O99" s="590">
        <v>0</v>
      </c>
      <c r="P99" s="606">
        <v>0</v>
      </c>
      <c r="Q99" s="584"/>
    </row>
    <row r="100" spans="1:17" s="583" customFormat="1" ht="29.25" customHeight="1">
      <c r="A100" s="596" t="s">
        <v>1080</v>
      </c>
      <c r="B100" s="642" t="s">
        <v>43</v>
      </c>
      <c r="C100" s="640" t="s">
        <v>910</v>
      </c>
      <c r="D100" s="590">
        <v>7901200</v>
      </c>
      <c r="E100" s="591"/>
      <c r="F100" s="591" t="s">
        <v>46</v>
      </c>
      <c r="G100" s="590">
        <v>0</v>
      </c>
      <c r="H100" s="590">
        <v>0</v>
      </c>
      <c r="I100" s="590">
        <v>0</v>
      </c>
      <c r="J100" s="590">
        <v>2250000</v>
      </c>
      <c r="K100" s="590">
        <v>0</v>
      </c>
      <c r="L100" s="590">
        <v>0</v>
      </c>
      <c r="M100" s="590">
        <v>0</v>
      </c>
      <c r="N100" s="590"/>
      <c r="O100" s="590">
        <v>0</v>
      </c>
      <c r="P100" s="606"/>
      <c r="Q100" s="584"/>
    </row>
    <row r="101" spans="1:17" s="581" customFormat="1" ht="29.25" customHeight="1">
      <c r="A101" s="631"/>
      <c r="B101" s="623" t="s">
        <v>1082</v>
      </c>
      <c r="C101" s="622"/>
      <c r="D101" s="624">
        <f>D102+D104+D108+D117+D120</f>
        <v>219108730</v>
      </c>
      <c r="E101" s="625"/>
      <c r="F101" s="625" t="s">
        <v>21</v>
      </c>
      <c r="G101" s="624">
        <f t="shared" ref="G101:P101" si="25">G102+G104+G108+G117+G120</f>
        <v>0</v>
      </c>
      <c r="H101" s="624">
        <f t="shared" si="25"/>
        <v>0</v>
      </c>
      <c r="I101" s="624">
        <f t="shared" si="25"/>
        <v>0</v>
      </c>
      <c r="J101" s="624">
        <f t="shared" si="25"/>
        <v>0</v>
      </c>
      <c r="K101" s="624">
        <f t="shared" si="25"/>
        <v>0</v>
      </c>
      <c r="L101" s="624">
        <f t="shared" si="25"/>
        <v>52090000</v>
      </c>
      <c r="M101" s="624">
        <f t="shared" si="25"/>
        <v>0</v>
      </c>
      <c r="N101" s="624">
        <f t="shared" si="25"/>
        <v>0</v>
      </c>
      <c r="O101" s="624">
        <f t="shared" si="25"/>
        <v>0</v>
      </c>
      <c r="P101" s="627">
        <f t="shared" si="25"/>
        <v>0</v>
      </c>
      <c r="Q101" s="601"/>
    </row>
    <row r="102" spans="1:17" s="585" customFormat="1" ht="29.25" customHeight="1">
      <c r="A102" s="631"/>
      <c r="B102" s="623" t="s">
        <v>200</v>
      </c>
      <c r="C102" s="622"/>
      <c r="D102" s="624">
        <f>SUM(D103:D103)</f>
        <v>45900000</v>
      </c>
      <c r="E102" s="625"/>
      <c r="F102" s="625" t="s">
        <v>21</v>
      </c>
      <c r="G102" s="628">
        <f t="shared" ref="G102:P102" si="26">SUM(G103:G103)</f>
        <v>0</v>
      </c>
      <c r="H102" s="628">
        <f t="shared" si="26"/>
        <v>0</v>
      </c>
      <c r="I102" s="628">
        <f t="shared" si="26"/>
        <v>0</v>
      </c>
      <c r="J102" s="628">
        <f t="shared" si="26"/>
        <v>0</v>
      </c>
      <c r="K102" s="628">
        <f t="shared" si="26"/>
        <v>0</v>
      </c>
      <c r="L102" s="628">
        <f t="shared" si="26"/>
        <v>0</v>
      </c>
      <c r="M102" s="628">
        <f t="shared" si="26"/>
        <v>0</v>
      </c>
      <c r="N102" s="628">
        <f t="shared" si="26"/>
        <v>0</v>
      </c>
      <c r="O102" s="628">
        <f t="shared" si="26"/>
        <v>0</v>
      </c>
      <c r="P102" s="629">
        <f t="shared" si="26"/>
        <v>0</v>
      </c>
      <c r="Q102" s="608"/>
    </row>
    <row r="103" spans="1:17" s="583" customFormat="1" ht="27.95" customHeight="1">
      <c r="A103" s="596" t="s">
        <v>1030</v>
      </c>
      <c r="B103" s="633" t="s">
        <v>1083</v>
      </c>
      <c r="C103" s="614"/>
      <c r="D103" s="590">
        <v>45900000</v>
      </c>
      <c r="E103" s="591"/>
      <c r="F103" s="591">
        <v>0</v>
      </c>
      <c r="G103" s="590">
        <v>0</v>
      </c>
      <c r="H103" s="590">
        <v>0</v>
      </c>
      <c r="I103" s="590">
        <v>0</v>
      </c>
      <c r="J103" s="590">
        <v>0</v>
      </c>
      <c r="K103" s="590">
        <v>0</v>
      </c>
      <c r="L103" s="590">
        <v>0</v>
      </c>
      <c r="M103" s="590">
        <v>0</v>
      </c>
      <c r="N103" s="590">
        <v>0</v>
      </c>
      <c r="O103" s="590">
        <v>0</v>
      </c>
      <c r="P103" s="606">
        <v>0</v>
      </c>
      <c r="Q103" s="584"/>
    </row>
    <row r="104" spans="1:17" s="585" customFormat="1" ht="30" customHeight="1">
      <c r="A104" s="631"/>
      <c r="B104" s="623" t="s">
        <v>206</v>
      </c>
      <c r="C104" s="622"/>
      <c r="D104" s="624">
        <f>SUM(D105:D107)</f>
        <v>17000000</v>
      </c>
      <c r="E104" s="625"/>
      <c r="F104" s="625" t="s">
        <v>21</v>
      </c>
      <c r="G104" s="628">
        <f t="shared" ref="G104:P104" si="27">SUM(G105:G107)</f>
        <v>0</v>
      </c>
      <c r="H104" s="628">
        <f t="shared" si="27"/>
        <v>0</v>
      </c>
      <c r="I104" s="628">
        <f t="shared" si="27"/>
        <v>0</v>
      </c>
      <c r="J104" s="628">
        <f t="shared" si="27"/>
        <v>0</v>
      </c>
      <c r="K104" s="628">
        <f t="shared" si="27"/>
        <v>0</v>
      </c>
      <c r="L104" s="628">
        <f t="shared" si="27"/>
        <v>17000000</v>
      </c>
      <c r="M104" s="628">
        <f t="shared" si="27"/>
        <v>0</v>
      </c>
      <c r="N104" s="628">
        <f t="shared" si="27"/>
        <v>0</v>
      </c>
      <c r="O104" s="628">
        <f t="shared" si="27"/>
        <v>0</v>
      </c>
      <c r="P104" s="629">
        <f t="shared" si="27"/>
        <v>0</v>
      </c>
      <c r="Q104" s="608"/>
    </row>
    <row r="105" spans="1:17" s="583" customFormat="1" ht="28.5" customHeight="1">
      <c r="A105" s="596" t="s">
        <v>960</v>
      </c>
      <c r="B105" s="633" t="s">
        <v>1084</v>
      </c>
      <c r="C105" s="614" t="s">
        <v>1116</v>
      </c>
      <c r="D105" s="590">
        <f>SUM(F105:P105)</f>
        <v>12000000</v>
      </c>
      <c r="E105" s="591"/>
      <c r="F105" s="591" t="s">
        <v>21</v>
      </c>
      <c r="G105" s="590">
        <v>0</v>
      </c>
      <c r="H105" s="590">
        <v>0</v>
      </c>
      <c r="I105" s="590">
        <v>0</v>
      </c>
      <c r="J105" s="590">
        <v>0</v>
      </c>
      <c r="K105" s="590">
        <v>0</v>
      </c>
      <c r="L105" s="590">
        <v>12000000</v>
      </c>
      <c r="M105" s="590">
        <v>0</v>
      </c>
      <c r="N105" s="590">
        <v>0</v>
      </c>
      <c r="O105" s="590">
        <v>0</v>
      </c>
      <c r="P105" s="606">
        <v>0</v>
      </c>
      <c r="Q105" s="584"/>
    </row>
    <row r="106" spans="1:17" s="583" customFormat="1" ht="28.5" customHeight="1">
      <c r="A106" s="596" t="s">
        <v>968</v>
      </c>
      <c r="B106" s="633" t="s">
        <v>1085</v>
      </c>
      <c r="C106" s="614" t="s">
        <v>1116</v>
      </c>
      <c r="D106" s="590">
        <f>SUM(F106:P106)</f>
        <v>5000000</v>
      </c>
      <c r="E106" s="591"/>
      <c r="F106" s="591" t="s">
        <v>21</v>
      </c>
      <c r="G106" s="590">
        <v>0</v>
      </c>
      <c r="H106" s="590">
        <v>0</v>
      </c>
      <c r="I106" s="590">
        <v>0</v>
      </c>
      <c r="J106" s="590">
        <v>0</v>
      </c>
      <c r="K106" s="590">
        <v>0</v>
      </c>
      <c r="L106" s="590">
        <v>5000000</v>
      </c>
      <c r="M106" s="590">
        <v>0</v>
      </c>
      <c r="N106" s="590">
        <v>0</v>
      </c>
      <c r="O106" s="590">
        <v>0</v>
      </c>
      <c r="P106" s="606">
        <v>0</v>
      </c>
      <c r="Q106" s="584"/>
    </row>
    <row r="107" spans="1:17" s="583" customFormat="1" ht="28.5" customHeight="1">
      <c r="A107" s="596">
        <v>99</v>
      </c>
      <c r="B107" s="633" t="s">
        <v>1086</v>
      </c>
      <c r="C107" s="614"/>
      <c r="D107" s="590">
        <f>SUM(F107:P107)</f>
        <v>0</v>
      </c>
      <c r="E107" s="591"/>
      <c r="F107" s="591">
        <v>0</v>
      </c>
      <c r="G107" s="590">
        <v>0</v>
      </c>
      <c r="H107" s="590">
        <v>0</v>
      </c>
      <c r="I107" s="590">
        <v>0</v>
      </c>
      <c r="J107" s="590">
        <v>0</v>
      </c>
      <c r="K107" s="590">
        <v>0</v>
      </c>
      <c r="L107" s="590">
        <v>0</v>
      </c>
      <c r="M107" s="590">
        <v>0</v>
      </c>
      <c r="N107" s="590">
        <v>0</v>
      </c>
      <c r="O107" s="590">
        <v>0</v>
      </c>
      <c r="P107" s="606">
        <v>0</v>
      </c>
      <c r="Q107" s="584"/>
    </row>
    <row r="108" spans="1:17" s="581" customFormat="1" ht="40.5">
      <c r="A108" s="631"/>
      <c r="B108" s="655" t="s">
        <v>210</v>
      </c>
      <c r="C108" s="656"/>
      <c r="D108" s="624">
        <f>SUM(D109:D116)</f>
        <v>24720000</v>
      </c>
      <c r="E108" s="625"/>
      <c r="F108" s="625">
        <f>SUM(F113:F116)</f>
        <v>0</v>
      </c>
      <c r="G108" s="624">
        <f t="shared" ref="G108:O108" si="28">SUM(G109:G116)</f>
        <v>0</v>
      </c>
      <c r="H108" s="624">
        <f t="shared" si="28"/>
        <v>0</v>
      </c>
      <c r="I108" s="624">
        <f t="shared" si="28"/>
        <v>0</v>
      </c>
      <c r="J108" s="624">
        <f t="shared" si="28"/>
        <v>0</v>
      </c>
      <c r="K108" s="624">
        <f t="shared" si="28"/>
        <v>0</v>
      </c>
      <c r="L108" s="624">
        <f t="shared" si="28"/>
        <v>24720000</v>
      </c>
      <c r="M108" s="624">
        <f t="shared" si="28"/>
        <v>0</v>
      </c>
      <c r="N108" s="624">
        <f t="shared" si="28"/>
        <v>0</v>
      </c>
      <c r="O108" s="624">
        <f t="shared" si="28"/>
        <v>0</v>
      </c>
      <c r="P108" s="627">
        <f>SUM(P113:P116)</f>
        <v>0</v>
      </c>
      <c r="Q108" s="601"/>
    </row>
    <row r="109" spans="1:17" s="583" customFormat="1" ht="27.75" customHeight="1">
      <c r="A109" s="588" t="s">
        <v>960</v>
      </c>
      <c r="B109" s="633" t="s">
        <v>325</v>
      </c>
      <c r="C109" s="614" t="s">
        <v>1116</v>
      </c>
      <c r="D109" s="590">
        <f t="shared" ref="D109:D116" si="29">SUM(F109:P109)</f>
        <v>3370000</v>
      </c>
      <c r="E109" s="591"/>
      <c r="F109" s="591" t="s">
        <v>21</v>
      </c>
      <c r="G109" s="590">
        <v>0</v>
      </c>
      <c r="H109" s="590">
        <v>0</v>
      </c>
      <c r="I109" s="590">
        <v>0</v>
      </c>
      <c r="J109" s="590">
        <v>0</v>
      </c>
      <c r="K109" s="590"/>
      <c r="L109" s="590">
        <f>400000+200000+(3*14*30000)+(3*14*30000)+(5*50000)</f>
        <v>3370000</v>
      </c>
      <c r="M109" s="590">
        <v>0</v>
      </c>
      <c r="N109" s="590">
        <v>0</v>
      </c>
      <c r="O109" s="590">
        <v>0</v>
      </c>
      <c r="P109" s="606">
        <v>0</v>
      </c>
      <c r="Q109" s="584"/>
    </row>
    <row r="110" spans="1:17" s="583" customFormat="1" ht="27.75" customHeight="1">
      <c r="A110" s="588" t="s">
        <v>966</v>
      </c>
      <c r="B110" s="633" t="s">
        <v>326</v>
      </c>
      <c r="C110" s="614" t="s">
        <v>1116</v>
      </c>
      <c r="D110" s="590">
        <f t="shared" si="29"/>
        <v>3370000</v>
      </c>
      <c r="E110" s="591"/>
      <c r="F110" s="591">
        <v>0</v>
      </c>
      <c r="G110" s="590">
        <v>0</v>
      </c>
      <c r="H110" s="590">
        <v>0</v>
      </c>
      <c r="I110" s="590">
        <v>0</v>
      </c>
      <c r="J110" s="590">
        <v>0</v>
      </c>
      <c r="K110" s="590">
        <v>0</v>
      </c>
      <c r="L110" s="590">
        <f>400000+200000+(3*14*30000)+(3*14*30000)+(5*50000)</f>
        <v>3370000</v>
      </c>
      <c r="M110" s="590">
        <v>0</v>
      </c>
      <c r="N110" s="590">
        <v>0</v>
      </c>
      <c r="O110" s="590">
        <v>0</v>
      </c>
      <c r="P110" s="606">
        <v>0</v>
      </c>
      <c r="Q110" s="584"/>
    </row>
    <row r="111" spans="1:17" s="583" customFormat="1" ht="27.75" customHeight="1">
      <c r="A111" s="588" t="s">
        <v>319</v>
      </c>
      <c r="B111" s="633" t="s">
        <v>327</v>
      </c>
      <c r="C111" s="614" t="s">
        <v>1116</v>
      </c>
      <c r="D111" s="590">
        <f t="shared" si="29"/>
        <v>4500000</v>
      </c>
      <c r="E111" s="591"/>
      <c r="F111" s="591" t="s">
        <v>21</v>
      </c>
      <c r="G111" s="590">
        <v>0</v>
      </c>
      <c r="H111" s="590">
        <v>0</v>
      </c>
      <c r="I111" s="590">
        <v>0</v>
      </c>
      <c r="J111" s="590">
        <v>0</v>
      </c>
      <c r="K111" s="590"/>
      <c r="L111" s="590">
        <v>4500000</v>
      </c>
      <c r="M111" s="590">
        <v>0</v>
      </c>
      <c r="N111" s="590">
        <v>0</v>
      </c>
      <c r="O111" s="590">
        <v>0</v>
      </c>
      <c r="P111" s="606">
        <v>0</v>
      </c>
      <c r="Q111" s="584"/>
    </row>
    <row r="112" spans="1:17" s="583" customFormat="1" ht="27.75" customHeight="1">
      <c r="A112" s="588" t="s">
        <v>1042</v>
      </c>
      <c r="B112" s="633" t="s">
        <v>213</v>
      </c>
      <c r="C112" s="614" t="s">
        <v>1116</v>
      </c>
      <c r="D112" s="590">
        <f t="shared" si="29"/>
        <v>3370000</v>
      </c>
      <c r="E112" s="591"/>
      <c r="F112" s="591">
        <v>0</v>
      </c>
      <c r="G112" s="590">
        <v>0</v>
      </c>
      <c r="H112" s="590">
        <v>0</v>
      </c>
      <c r="I112" s="590">
        <v>0</v>
      </c>
      <c r="J112" s="590">
        <v>0</v>
      </c>
      <c r="K112" s="590">
        <v>0</v>
      </c>
      <c r="L112" s="590">
        <f>400000+200000+(3*14*30000)+(3*14*30000)+(5*50000)</f>
        <v>3370000</v>
      </c>
      <c r="M112" s="590">
        <v>0</v>
      </c>
      <c r="N112" s="590">
        <v>0</v>
      </c>
      <c r="O112" s="590">
        <v>0</v>
      </c>
      <c r="P112" s="606">
        <v>0</v>
      </c>
      <c r="Q112" s="584"/>
    </row>
    <row r="113" spans="1:17" s="583" customFormat="1" ht="27.75" customHeight="1">
      <c r="A113" s="588" t="s">
        <v>1036</v>
      </c>
      <c r="B113" s="633" t="s">
        <v>214</v>
      </c>
      <c r="C113" s="614" t="s">
        <v>1116</v>
      </c>
      <c r="D113" s="590">
        <f t="shared" si="29"/>
        <v>3370000</v>
      </c>
      <c r="E113" s="591"/>
      <c r="F113" s="591" t="s">
        <v>21</v>
      </c>
      <c r="G113" s="590">
        <v>0</v>
      </c>
      <c r="H113" s="590">
        <v>0</v>
      </c>
      <c r="I113" s="590">
        <v>0</v>
      </c>
      <c r="J113" s="590">
        <v>0</v>
      </c>
      <c r="K113" s="590"/>
      <c r="L113" s="590">
        <f>400000+200000+(3*14*30000)+(3*14*30000)+(5*50000)</f>
        <v>3370000</v>
      </c>
      <c r="M113" s="590">
        <v>0</v>
      </c>
      <c r="N113" s="590">
        <v>0</v>
      </c>
      <c r="O113" s="590">
        <v>0</v>
      </c>
      <c r="P113" s="606">
        <v>0</v>
      </c>
      <c r="Q113" s="584"/>
    </row>
    <row r="114" spans="1:17" s="583" customFormat="1" ht="27.75" customHeight="1">
      <c r="A114" s="588" t="s">
        <v>1080</v>
      </c>
      <c r="B114" s="633" t="s">
        <v>216</v>
      </c>
      <c r="C114" s="614" t="s">
        <v>1116</v>
      </c>
      <c r="D114" s="590">
        <f t="shared" si="29"/>
        <v>3370000</v>
      </c>
      <c r="E114" s="591"/>
      <c r="F114" s="591">
        <v>0</v>
      </c>
      <c r="G114" s="590">
        <v>0</v>
      </c>
      <c r="H114" s="590">
        <v>0</v>
      </c>
      <c r="I114" s="590">
        <v>0</v>
      </c>
      <c r="J114" s="590">
        <v>0</v>
      </c>
      <c r="K114" s="590">
        <v>0</v>
      </c>
      <c r="L114" s="590">
        <f>400000+200000+(3*14*30000)+(3*14*30000)+(5*50000)</f>
        <v>3370000</v>
      </c>
      <c r="M114" s="590">
        <v>0</v>
      </c>
      <c r="N114" s="590">
        <v>0</v>
      </c>
      <c r="O114" s="590">
        <v>0</v>
      </c>
      <c r="P114" s="606">
        <v>0</v>
      </c>
      <c r="Q114" s="584"/>
    </row>
    <row r="115" spans="1:17" s="583" customFormat="1" ht="27.75" customHeight="1">
      <c r="A115" s="588" t="s">
        <v>1030</v>
      </c>
      <c r="B115" s="633" t="s">
        <v>328</v>
      </c>
      <c r="C115" s="614" t="s">
        <v>1116</v>
      </c>
      <c r="D115" s="590">
        <f t="shared" si="29"/>
        <v>3370000</v>
      </c>
      <c r="E115" s="591"/>
      <c r="F115" s="591" t="s">
        <v>21</v>
      </c>
      <c r="G115" s="590">
        <v>0</v>
      </c>
      <c r="H115" s="590">
        <v>0</v>
      </c>
      <c r="I115" s="590">
        <v>0</v>
      </c>
      <c r="J115" s="590">
        <v>0</v>
      </c>
      <c r="K115" s="590"/>
      <c r="L115" s="590">
        <f>400000+200000+(3*14*30000)+(3*14*30000)+(5*50000)</f>
        <v>3370000</v>
      </c>
      <c r="M115" s="590">
        <v>0</v>
      </c>
      <c r="N115" s="590">
        <v>0</v>
      </c>
      <c r="O115" s="590">
        <v>0</v>
      </c>
      <c r="P115" s="606">
        <v>0</v>
      </c>
      <c r="Q115" s="584"/>
    </row>
    <row r="116" spans="1:17" s="583" customFormat="1" ht="40.5">
      <c r="A116" s="588">
        <v>99</v>
      </c>
      <c r="B116" s="633" t="s">
        <v>1087</v>
      </c>
      <c r="C116" s="614"/>
      <c r="D116" s="590">
        <f t="shared" si="29"/>
        <v>0</v>
      </c>
      <c r="E116" s="591"/>
      <c r="F116" s="591">
        <v>0</v>
      </c>
      <c r="G116" s="590">
        <v>0</v>
      </c>
      <c r="H116" s="590">
        <v>0</v>
      </c>
      <c r="I116" s="590">
        <v>0</v>
      </c>
      <c r="J116" s="590">
        <v>0</v>
      </c>
      <c r="K116" s="590">
        <v>0</v>
      </c>
      <c r="L116" s="590">
        <v>0</v>
      </c>
      <c r="M116" s="590">
        <v>0</v>
      </c>
      <c r="N116" s="590">
        <v>0</v>
      </c>
      <c r="O116" s="590">
        <v>0</v>
      </c>
      <c r="P116" s="606">
        <v>0</v>
      </c>
      <c r="Q116" s="584"/>
    </row>
    <row r="117" spans="1:17" s="581" customFormat="1" ht="25.5" customHeight="1">
      <c r="A117" s="631"/>
      <c r="B117" s="647" t="s">
        <v>217</v>
      </c>
      <c r="C117" s="648"/>
      <c r="D117" s="624">
        <f>SUM(D118:D119)</f>
        <v>100000000</v>
      </c>
      <c r="E117" s="625"/>
      <c r="F117" s="625" t="s">
        <v>21</v>
      </c>
      <c r="G117" s="624">
        <f t="shared" ref="G117:P117" si="30">SUM(G118:G119)</f>
        <v>0</v>
      </c>
      <c r="H117" s="624">
        <f t="shared" si="30"/>
        <v>0</v>
      </c>
      <c r="I117" s="624">
        <f t="shared" si="30"/>
        <v>0</v>
      </c>
      <c r="J117" s="624">
        <f t="shared" si="30"/>
        <v>0</v>
      </c>
      <c r="K117" s="624">
        <f t="shared" si="30"/>
        <v>0</v>
      </c>
      <c r="L117" s="624">
        <f t="shared" si="30"/>
        <v>7000000</v>
      </c>
      <c r="M117" s="624">
        <f t="shared" si="30"/>
        <v>0</v>
      </c>
      <c r="N117" s="624">
        <f t="shared" si="30"/>
        <v>0</v>
      </c>
      <c r="O117" s="624">
        <f t="shared" si="30"/>
        <v>0</v>
      </c>
      <c r="P117" s="627">
        <f t="shared" si="30"/>
        <v>0</v>
      </c>
      <c r="Q117" s="601"/>
    </row>
    <row r="118" spans="1:17" s="583" customFormat="1" ht="27.75" customHeight="1">
      <c r="A118" s="588" t="s">
        <v>966</v>
      </c>
      <c r="B118" s="642" t="s">
        <v>1088</v>
      </c>
      <c r="C118" s="614" t="s">
        <v>1116</v>
      </c>
      <c r="D118" s="590">
        <v>100000000</v>
      </c>
      <c r="E118" s="591"/>
      <c r="F118" s="591" t="s">
        <v>21</v>
      </c>
      <c r="G118" s="590">
        <v>0</v>
      </c>
      <c r="H118" s="590">
        <v>0</v>
      </c>
      <c r="I118" s="590">
        <v>0</v>
      </c>
      <c r="J118" s="590">
        <v>0</v>
      </c>
      <c r="K118" s="590">
        <v>0</v>
      </c>
      <c r="L118" s="590">
        <v>7000000</v>
      </c>
      <c r="M118" s="590">
        <v>0</v>
      </c>
      <c r="N118" s="590">
        <v>0</v>
      </c>
      <c r="O118" s="590">
        <v>0</v>
      </c>
      <c r="P118" s="606">
        <v>0</v>
      </c>
      <c r="Q118" s="584"/>
    </row>
    <row r="119" spans="1:17" s="583" customFormat="1" ht="27.75" customHeight="1">
      <c r="A119" s="588">
        <v>99</v>
      </c>
      <c r="B119" s="642" t="s">
        <v>1119</v>
      </c>
      <c r="C119" s="640"/>
      <c r="D119" s="590">
        <f>SUM(F119:P119)</f>
        <v>0</v>
      </c>
      <c r="E119" s="591"/>
      <c r="F119" s="591" t="s">
        <v>21</v>
      </c>
      <c r="G119" s="590">
        <v>0</v>
      </c>
      <c r="H119" s="590">
        <v>0</v>
      </c>
      <c r="I119" s="590">
        <v>0</v>
      </c>
      <c r="J119" s="590">
        <v>0</v>
      </c>
      <c r="K119" s="590">
        <v>0</v>
      </c>
      <c r="L119" s="590"/>
      <c r="M119" s="590">
        <v>0</v>
      </c>
      <c r="N119" s="590">
        <v>0</v>
      </c>
      <c r="O119" s="590">
        <v>0</v>
      </c>
      <c r="P119" s="606">
        <v>0</v>
      </c>
      <c r="Q119" s="584"/>
    </row>
    <row r="120" spans="1:17" s="581" customFormat="1" ht="25.5" customHeight="1">
      <c r="A120" s="631"/>
      <c r="B120" s="647" t="s">
        <v>1090</v>
      </c>
      <c r="C120" s="648"/>
      <c r="D120" s="624">
        <f>SUM(D121:D122)</f>
        <v>31488730</v>
      </c>
      <c r="E120" s="625"/>
      <c r="F120" s="625" t="s">
        <v>21</v>
      </c>
      <c r="G120" s="624">
        <f>SUM(G121:G122)</f>
        <v>0</v>
      </c>
      <c r="H120" s="624">
        <f t="shared" ref="H120:P120" si="31">SUM(H121:H122)</f>
        <v>0</v>
      </c>
      <c r="I120" s="624">
        <f t="shared" si="31"/>
        <v>0</v>
      </c>
      <c r="J120" s="624">
        <f t="shared" si="31"/>
        <v>0</v>
      </c>
      <c r="K120" s="624">
        <f t="shared" si="31"/>
        <v>0</v>
      </c>
      <c r="L120" s="624">
        <f t="shared" si="31"/>
        <v>3370000</v>
      </c>
      <c r="M120" s="624">
        <f t="shared" si="31"/>
        <v>0</v>
      </c>
      <c r="N120" s="624">
        <f t="shared" si="31"/>
        <v>0</v>
      </c>
      <c r="O120" s="624">
        <f t="shared" si="31"/>
        <v>0</v>
      </c>
      <c r="P120" s="627">
        <f t="shared" si="31"/>
        <v>0</v>
      </c>
      <c r="Q120" s="601"/>
    </row>
    <row r="121" spans="1:17" s="583" customFormat="1" ht="42" customHeight="1">
      <c r="A121" s="588" t="s">
        <v>966</v>
      </c>
      <c r="B121" s="599" t="s">
        <v>332</v>
      </c>
      <c r="C121" s="614" t="s">
        <v>1116</v>
      </c>
      <c r="D121" s="590">
        <v>31488730</v>
      </c>
      <c r="E121" s="591"/>
      <c r="F121" s="591" t="s">
        <v>21</v>
      </c>
      <c r="G121" s="590">
        <v>0</v>
      </c>
      <c r="H121" s="590">
        <v>0</v>
      </c>
      <c r="I121" s="590">
        <v>0</v>
      </c>
      <c r="J121" s="590">
        <v>0</v>
      </c>
      <c r="K121" s="590">
        <v>0</v>
      </c>
      <c r="L121" s="590">
        <f>400000+200000+(3*14*30000)+(3*14*30000)+(5*50000)</f>
        <v>3370000</v>
      </c>
      <c r="M121" s="590">
        <v>0</v>
      </c>
      <c r="N121" s="590">
        <v>0</v>
      </c>
      <c r="O121" s="590">
        <v>0</v>
      </c>
      <c r="P121" s="606">
        <v>0</v>
      </c>
      <c r="Q121" s="584"/>
    </row>
    <row r="122" spans="1:17" s="583" customFormat="1" ht="27.75" customHeight="1">
      <c r="A122" s="588">
        <v>99</v>
      </c>
      <c r="B122" s="642" t="s">
        <v>1091</v>
      </c>
      <c r="C122" s="640"/>
      <c r="D122" s="590">
        <f>SUM(F122:P122)</f>
        <v>0</v>
      </c>
      <c r="E122" s="591"/>
      <c r="F122" s="591">
        <v>0</v>
      </c>
      <c r="G122" s="590">
        <v>0</v>
      </c>
      <c r="H122" s="590">
        <v>0</v>
      </c>
      <c r="I122" s="590">
        <v>0</v>
      </c>
      <c r="J122" s="590">
        <v>0</v>
      </c>
      <c r="K122" s="590">
        <v>0</v>
      </c>
      <c r="L122" s="590">
        <v>0</v>
      </c>
      <c r="M122" s="590">
        <v>0</v>
      </c>
      <c r="N122" s="590">
        <v>0</v>
      </c>
      <c r="O122" s="590">
        <v>0</v>
      </c>
      <c r="P122" s="606">
        <v>0</v>
      </c>
      <c r="Q122" s="584"/>
    </row>
    <row r="123" spans="1:17" s="581" customFormat="1" ht="39.75" customHeight="1">
      <c r="A123" s="631"/>
      <c r="B123" s="623" t="s">
        <v>1092</v>
      </c>
      <c r="C123" s="622"/>
      <c r="D123" s="624">
        <f>D124+D126+D128</f>
        <v>104247000</v>
      </c>
      <c r="E123" s="625"/>
      <c r="F123" s="625" t="s">
        <v>914</v>
      </c>
      <c r="G123" s="624">
        <f t="shared" ref="G123:P123" si="32">G124+G126+G128</f>
        <v>0</v>
      </c>
      <c r="H123" s="624">
        <f t="shared" si="32"/>
        <v>0</v>
      </c>
      <c r="I123" s="624">
        <f t="shared" si="32"/>
        <v>0</v>
      </c>
      <c r="J123" s="624">
        <f t="shared" si="32"/>
        <v>0</v>
      </c>
      <c r="K123" s="624">
        <f t="shared" si="32"/>
        <v>0</v>
      </c>
      <c r="L123" s="624">
        <f t="shared" si="32"/>
        <v>107000000</v>
      </c>
      <c r="M123" s="624">
        <f t="shared" si="32"/>
        <v>0</v>
      </c>
      <c r="N123" s="624">
        <f t="shared" si="32"/>
        <v>0</v>
      </c>
      <c r="O123" s="624">
        <f t="shared" si="32"/>
        <v>0</v>
      </c>
      <c r="P123" s="627">
        <f t="shared" si="32"/>
        <v>0</v>
      </c>
      <c r="Q123" s="601"/>
    </row>
    <row r="124" spans="1:17" s="583" customFormat="1" ht="25.5" customHeight="1">
      <c r="A124" s="630"/>
      <c r="B124" s="589" t="s">
        <v>1093</v>
      </c>
      <c r="C124" s="630"/>
      <c r="D124" s="590">
        <f>SUM(D125)</f>
        <v>28647000</v>
      </c>
      <c r="E124" s="591"/>
      <c r="F124" s="591" t="s">
        <v>914</v>
      </c>
      <c r="G124" s="590">
        <f t="shared" ref="G124:P124" si="33">SUM(G125)</f>
        <v>0</v>
      </c>
      <c r="H124" s="590">
        <f t="shared" si="33"/>
        <v>0</v>
      </c>
      <c r="I124" s="590">
        <f t="shared" si="33"/>
        <v>0</v>
      </c>
      <c r="J124" s="590">
        <f t="shared" si="33"/>
        <v>0</v>
      </c>
      <c r="K124" s="590">
        <f t="shared" si="33"/>
        <v>0</v>
      </c>
      <c r="L124" s="590">
        <f t="shared" si="33"/>
        <v>35000000</v>
      </c>
      <c r="M124" s="590">
        <f t="shared" si="33"/>
        <v>0</v>
      </c>
      <c r="N124" s="590">
        <f t="shared" si="33"/>
        <v>0</v>
      </c>
      <c r="O124" s="590">
        <f t="shared" si="33"/>
        <v>0</v>
      </c>
      <c r="P124" s="606">
        <f t="shared" si="33"/>
        <v>0</v>
      </c>
      <c r="Q124" s="584"/>
    </row>
    <row r="125" spans="1:17" s="586" customFormat="1" ht="25.5" customHeight="1">
      <c r="A125" s="588" t="s">
        <v>960</v>
      </c>
      <c r="B125" s="589" t="s">
        <v>1093</v>
      </c>
      <c r="C125" s="630" t="s">
        <v>1120</v>
      </c>
      <c r="D125" s="590">
        <v>28647000</v>
      </c>
      <c r="E125" s="591"/>
      <c r="F125" s="591" t="s">
        <v>914</v>
      </c>
      <c r="G125" s="592">
        <v>0</v>
      </c>
      <c r="H125" s="592">
        <v>0</v>
      </c>
      <c r="I125" s="592">
        <v>0</v>
      </c>
      <c r="J125" s="592">
        <v>0</v>
      </c>
      <c r="K125" s="592">
        <v>0</v>
      </c>
      <c r="L125" s="592">
        <v>35000000</v>
      </c>
      <c r="M125" s="592"/>
      <c r="N125" s="592">
        <v>0</v>
      </c>
      <c r="O125" s="592">
        <v>0</v>
      </c>
      <c r="P125" s="605">
        <v>0</v>
      </c>
      <c r="Q125" s="609"/>
    </row>
    <row r="126" spans="1:17" s="583" customFormat="1" ht="25.5" customHeight="1">
      <c r="A126" s="630"/>
      <c r="B126" s="589" t="s">
        <v>1094</v>
      </c>
      <c r="C126" s="630"/>
      <c r="D126" s="590">
        <f>SUM(D127)</f>
        <v>0</v>
      </c>
      <c r="E126" s="591"/>
      <c r="F126" s="591" t="s">
        <v>914</v>
      </c>
      <c r="G126" s="590">
        <f t="shared" ref="G126:P126" si="34">SUM(G127)</f>
        <v>0</v>
      </c>
      <c r="H126" s="590">
        <f t="shared" si="34"/>
        <v>0</v>
      </c>
      <c r="I126" s="590">
        <f t="shared" si="34"/>
        <v>0</v>
      </c>
      <c r="J126" s="590">
        <f t="shared" si="34"/>
        <v>0</v>
      </c>
      <c r="K126" s="590">
        <f t="shared" si="34"/>
        <v>0</v>
      </c>
      <c r="L126" s="590">
        <f t="shared" si="34"/>
        <v>0</v>
      </c>
      <c r="M126" s="590">
        <f t="shared" si="34"/>
        <v>0</v>
      </c>
      <c r="N126" s="590">
        <f t="shared" si="34"/>
        <v>0</v>
      </c>
      <c r="O126" s="590">
        <f t="shared" si="34"/>
        <v>0</v>
      </c>
      <c r="P126" s="606">
        <f t="shared" si="34"/>
        <v>0</v>
      </c>
      <c r="Q126" s="584"/>
    </row>
    <row r="127" spans="1:17" s="586" customFormat="1" ht="25.5" customHeight="1">
      <c r="A127" s="588" t="s">
        <v>960</v>
      </c>
      <c r="B127" s="589" t="s">
        <v>1094</v>
      </c>
      <c r="C127" s="630"/>
      <c r="D127" s="590">
        <f>SUM(F127:P127)</f>
        <v>0</v>
      </c>
      <c r="E127" s="591"/>
      <c r="F127" s="591" t="s">
        <v>914</v>
      </c>
      <c r="G127" s="592">
        <v>0</v>
      </c>
      <c r="H127" s="592">
        <v>0</v>
      </c>
      <c r="I127" s="592">
        <v>0</v>
      </c>
      <c r="J127" s="592">
        <v>0</v>
      </c>
      <c r="K127" s="592">
        <v>0</v>
      </c>
      <c r="L127" s="592"/>
      <c r="M127" s="592"/>
      <c r="N127" s="592">
        <v>0</v>
      </c>
      <c r="O127" s="592">
        <v>0</v>
      </c>
      <c r="P127" s="605">
        <v>0</v>
      </c>
      <c r="Q127" s="609"/>
    </row>
    <row r="128" spans="1:17" s="583" customFormat="1" ht="25.5" customHeight="1">
      <c r="A128" s="630"/>
      <c r="B128" s="589" t="s">
        <v>1095</v>
      </c>
      <c r="C128" s="630"/>
      <c r="D128" s="590">
        <f>SUM(D129)</f>
        <v>75600000</v>
      </c>
      <c r="E128" s="591"/>
      <c r="F128" s="591" t="s">
        <v>914</v>
      </c>
      <c r="G128" s="590">
        <f t="shared" ref="G128:P128" si="35">SUM(G129)</f>
        <v>0</v>
      </c>
      <c r="H128" s="590">
        <f t="shared" si="35"/>
        <v>0</v>
      </c>
      <c r="I128" s="590">
        <f t="shared" si="35"/>
        <v>0</v>
      </c>
      <c r="J128" s="590">
        <f t="shared" si="35"/>
        <v>0</v>
      </c>
      <c r="K128" s="590">
        <f t="shared" si="35"/>
        <v>0</v>
      </c>
      <c r="L128" s="590">
        <f t="shared" si="35"/>
        <v>72000000</v>
      </c>
      <c r="M128" s="590">
        <f t="shared" si="35"/>
        <v>0</v>
      </c>
      <c r="N128" s="590">
        <f t="shared" si="35"/>
        <v>0</v>
      </c>
      <c r="O128" s="590">
        <f t="shared" si="35"/>
        <v>0</v>
      </c>
      <c r="P128" s="606">
        <f t="shared" si="35"/>
        <v>0</v>
      </c>
      <c r="Q128" s="584"/>
    </row>
    <row r="129" spans="1:17" s="586" customFormat="1" ht="25.5" customHeight="1">
      <c r="A129" s="588" t="s">
        <v>960</v>
      </c>
      <c r="B129" s="589" t="s">
        <v>1095</v>
      </c>
      <c r="C129" s="630" t="s">
        <v>1120</v>
      </c>
      <c r="D129" s="590">
        <v>75600000</v>
      </c>
      <c r="E129" s="591"/>
      <c r="F129" s="591" t="s">
        <v>914</v>
      </c>
      <c r="G129" s="592">
        <v>0</v>
      </c>
      <c r="H129" s="592">
        <v>0</v>
      </c>
      <c r="I129" s="592">
        <v>0</v>
      </c>
      <c r="J129" s="592">
        <v>0</v>
      </c>
      <c r="K129" s="592">
        <v>0</v>
      </c>
      <c r="L129" s="592">
        <f>300000*20*12</f>
        <v>72000000</v>
      </c>
      <c r="M129" s="592"/>
      <c r="N129" s="592">
        <v>0</v>
      </c>
      <c r="O129" s="592">
        <v>0</v>
      </c>
      <c r="P129" s="605">
        <v>0</v>
      </c>
      <c r="Q129" s="609"/>
    </row>
    <row r="130" spans="1:17" s="583" customFormat="1" ht="25.5" customHeight="1">
      <c r="A130" s="657"/>
      <c r="B130" s="589"/>
      <c r="C130" s="630"/>
      <c r="D130" s="590"/>
      <c r="E130" s="591"/>
      <c r="F130" s="658"/>
      <c r="G130" s="659"/>
      <c r="H130" s="659"/>
      <c r="I130" s="659"/>
      <c r="J130" s="659"/>
      <c r="K130" s="659"/>
      <c r="L130" s="659"/>
      <c r="M130" s="659"/>
      <c r="N130" s="659"/>
      <c r="O130" s="659"/>
      <c r="P130" s="660"/>
      <c r="Q130" s="584"/>
    </row>
    <row r="131" spans="1:17" s="581" customFormat="1" ht="25.5" customHeight="1">
      <c r="A131" s="661"/>
      <c r="B131" s="623" t="s">
        <v>1096</v>
      </c>
      <c r="C131" s="622"/>
      <c r="D131" s="624">
        <f>D13+D55+D81+D101+D123</f>
        <v>2399411083</v>
      </c>
      <c r="E131" s="625"/>
      <c r="F131" s="625"/>
      <c r="G131" s="624" t="e">
        <f>#REF!</f>
        <v>#REF!</v>
      </c>
      <c r="H131" s="624" t="e">
        <f>#REF!</f>
        <v>#REF!</v>
      </c>
      <c r="I131" s="624" t="e">
        <f>#REF!</f>
        <v>#REF!</v>
      </c>
      <c r="J131" s="624" t="e">
        <f>#REF!</f>
        <v>#REF!</v>
      </c>
      <c r="K131" s="624" t="e">
        <f>#REF!</f>
        <v>#REF!</v>
      </c>
      <c r="L131" s="624" t="e">
        <f>#REF!</f>
        <v>#REF!</v>
      </c>
      <c r="M131" s="624" t="e">
        <f>#REF!</f>
        <v>#REF!</v>
      </c>
      <c r="N131" s="624" t="e">
        <f>#REF!</f>
        <v>#REF!</v>
      </c>
      <c r="O131" s="624" t="e">
        <f>#REF!</f>
        <v>#REF!</v>
      </c>
      <c r="P131" s="627" t="e">
        <f>#REF!</f>
        <v>#REF!</v>
      </c>
      <c r="Q131" s="601"/>
    </row>
    <row r="132" spans="1:17" s="583" customFormat="1" ht="20.25">
      <c r="A132" s="662"/>
      <c r="B132" s="663"/>
      <c r="C132" s="664"/>
      <c r="D132" s="665"/>
      <c r="E132" s="666"/>
      <c r="F132" s="664"/>
      <c r="G132" s="600"/>
      <c r="H132" s="600"/>
      <c r="I132" s="600"/>
      <c r="J132" s="600"/>
      <c r="K132" s="600"/>
      <c r="L132" s="600"/>
      <c r="M132" s="600"/>
      <c r="N132" s="600"/>
      <c r="O132" s="600"/>
      <c r="P132" s="600"/>
      <c r="Q132" s="584"/>
    </row>
    <row r="133" spans="1:17" s="583" customFormat="1" ht="20.25">
      <c r="A133" s="794"/>
      <c r="B133" s="794"/>
      <c r="C133" s="602"/>
      <c r="D133" s="798" t="s">
        <v>1129</v>
      </c>
      <c r="E133" s="798"/>
      <c r="F133" s="798"/>
      <c r="G133" s="600"/>
      <c r="H133" s="600"/>
      <c r="I133" s="600"/>
      <c r="J133" s="600"/>
      <c r="K133" s="600"/>
      <c r="L133" s="600"/>
      <c r="M133" s="600"/>
      <c r="N133" s="600" t="s">
        <v>1109</v>
      </c>
      <c r="O133" s="600"/>
      <c r="P133" s="600"/>
      <c r="Q133" s="584"/>
    </row>
    <row r="134" spans="1:17" s="583" customFormat="1" ht="20.25">
      <c r="A134" s="794"/>
      <c r="B134" s="794"/>
      <c r="C134" s="602"/>
      <c r="D134" s="666" t="s">
        <v>1123</v>
      </c>
      <c r="E134" s="666"/>
      <c r="F134" s="664"/>
      <c r="G134" s="600"/>
      <c r="H134" s="600"/>
      <c r="I134" s="600"/>
      <c r="J134" s="600"/>
      <c r="K134" s="600"/>
      <c r="L134" s="600"/>
      <c r="M134" s="600"/>
      <c r="N134" s="600" t="s">
        <v>1110</v>
      </c>
      <c r="O134" s="600"/>
      <c r="P134" s="600"/>
      <c r="Q134" s="584"/>
    </row>
    <row r="135" spans="1:17" s="583" customFormat="1" ht="20.25">
      <c r="A135" s="794"/>
      <c r="B135" s="794"/>
      <c r="C135" s="602"/>
      <c r="D135" s="666"/>
      <c r="E135" s="666"/>
      <c r="F135" s="664"/>
      <c r="G135" s="600"/>
      <c r="H135" s="600"/>
      <c r="I135" s="600"/>
      <c r="J135" s="600"/>
      <c r="K135" s="600"/>
      <c r="L135" s="600"/>
      <c r="M135" s="600"/>
      <c r="N135" s="600"/>
      <c r="O135" s="600"/>
      <c r="P135" s="600"/>
      <c r="Q135" s="584"/>
    </row>
    <row r="136" spans="1:17" s="583" customFormat="1" ht="20.25">
      <c r="A136" s="794"/>
      <c r="B136" s="794"/>
      <c r="C136" s="602"/>
      <c r="D136" s="797"/>
      <c r="E136" s="797"/>
      <c r="F136" s="797"/>
      <c r="G136" s="600"/>
      <c r="H136" s="600"/>
      <c r="I136" s="600"/>
      <c r="J136" s="600"/>
      <c r="K136" s="600"/>
      <c r="L136" s="600"/>
      <c r="M136" s="600"/>
      <c r="N136" s="600"/>
      <c r="O136" s="600"/>
      <c r="P136" s="600"/>
      <c r="Q136" s="584"/>
    </row>
    <row r="137" spans="1:17" s="583" customFormat="1" ht="20.25">
      <c r="A137" s="794"/>
      <c r="B137" s="794"/>
      <c r="C137" s="602"/>
      <c r="D137" s="666"/>
      <c r="E137" s="666"/>
      <c r="F137" s="664"/>
      <c r="G137" s="600"/>
      <c r="H137" s="600"/>
      <c r="I137" s="600"/>
      <c r="J137" s="600"/>
      <c r="K137" s="600"/>
      <c r="L137" s="600"/>
      <c r="M137" s="600"/>
      <c r="N137" s="600"/>
      <c r="O137" s="600"/>
      <c r="P137" s="600"/>
      <c r="Q137" s="584"/>
    </row>
    <row r="138" spans="1:17" s="581" customFormat="1" ht="22.5" customHeight="1">
      <c r="A138" s="795"/>
      <c r="B138" s="795"/>
      <c r="C138" s="603"/>
      <c r="D138" s="796" t="s">
        <v>1132</v>
      </c>
      <c r="E138" s="796"/>
      <c r="F138" s="667"/>
      <c r="G138" s="604"/>
      <c r="H138" s="604"/>
      <c r="I138" s="604"/>
      <c r="J138" s="604"/>
      <c r="K138" s="604"/>
      <c r="L138" s="604"/>
      <c r="M138" s="604"/>
      <c r="N138" s="604" t="s">
        <v>35</v>
      </c>
      <c r="O138" s="604"/>
      <c r="P138" s="604"/>
      <c r="Q138" s="601"/>
    </row>
  </sheetData>
  <mergeCells count="30">
    <mergeCell ref="Q9:Q12"/>
    <mergeCell ref="A135:B135"/>
    <mergeCell ref="A137:B137"/>
    <mergeCell ref="A138:B138"/>
    <mergeCell ref="D138:E138"/>
    <mergeCell ref="A136:B136"/>
    <mergeCell ref="D136:F136"/>
    <mergeCell ref="L11:L12"/>
    <mergeCell ref="A133:B133"/>
    <mergeCell ref="D133:F133"/>
    <mergeCell ref="A134:B134"/>
    <mergeCell ref="G11:G12"/>
    <mergeCell ref="H11:H12"/>
    <mergeCell ref="I11:I12"/>
    <mergeCell ref="A2:E2"/>
    <mergeCell ref="A3:E3"/>
    <mergeCell ref="A4:P4"/>
    <mergeCell ref="A9:A12"/>
    <mergeCell ref="B9:B12"/>
    <mergeCell ref="C9:C12"/>
    <mergeCell ref="D9:D12"/>
    <mergeCell ref="E9:E12"/>
    <mergeCell ref="F9:F12"/>
    <mergeCell ref="G9:P10"/>
    <mergeCell ref="M11:M12"/>
    <mergeCell ref="N11:N12"/>
    <mergeCell ref="O11:O12"/>
    <mergeCell ref="P11:P12"/>
    <mergeCell ref="J11:J12"/>
    <mergeCell ref="K11:K12"/>
  </mergeCells>
  <pageMargins left="0.78" right="0.2" top="0.74803149606299202" bottom="0.74803149606299202" header="0.31496062992126" footer="0.31496062992126"/>
  <pageSetup paperSize="5" scale="3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tabSelected="1" topLeftCell="A4" workbookViewId="0">
      <selection activeCell="I12" sqref="I12"/>
    </sheetView>
  </sheetViews>
  <sheetFormatPr defaultRowHeight="15"/>
  <cols>
    <col min="1" max="1" width="11.28515625" customWidth="1"/>
    <col min="2" max="2" width="8.7109375" customWidth="1"/>
    <col min="3" max="3" width="0" hidden="1" customWidth="1"/>
    <col min="4" max="4" width="94.5703125" customWidth="1"/>
    <col min="7" max="7" width="24.85546875" customWidth="1"/>
    <col min="8" max="8" width="14.7109375" customWidth="1"/>
    <col min="9" max="9" width="10.5703125" customWidth="1"/>
  </cols>
  <sheetData>
    <row r="1" spans="1:9" ht="20.25">
      <c r="A1" s="741" t="s">
        <v>1134</v>
      </c>
      <c r="B1" s="741"/>
      <c r="C1" s="741"/>
      <c r="D1" s="741"/>
      <c r="E1" s="741"/>
      <c r="F1" s="741"/>
      <c r="G1" s="741"/>
      <c r="H1" s="741"/>
      <c r="I1" s="741"/>
    </row>
    <row r="2" spans="1:9" ht="20.25">
      <c r="A2" s="741" t="s">
        <v>942</v>
      </c>
      <c r="B2" s="741"/>
      <c r="C2" s="741"/>
      <c r="D2" s="741"/>
      <c r="E2" s="741"/>
      <c r="F2" s="741"/>
      <c r="G2" s="741"/>
      <c r="H2" s="741"/>
      <c r="I2" s="741"/>
    </row>
    <row r="3" spans="1:9" ht="15.75">
      <c r="A3" s="742" t="s">
        <v>0</v>
      </c>
      <c r="B3" s="742"/>
      <c r="C3" s="742"/>
      <c r="D3" s="799" t="s">
        <v>1182</v>
      </c>
      <c r="E3" s="799" t="s">
        <v>61</v>
      </c>
      <c r="F3" s="799"/>
      <c r="G3" s="800" t="s">
        <v>62</v>
      </c>
      <c r="H3" s="800"/>
      <c r="I3" s="800"/>
    </row>
    <row r="4" spans="1:9" ht="15.75">
      <c r="A4" s="742" t="s">
        <v>2</v>
      </c>
      <c r="B4" s="742"/>
      <c r="C4" s="742"/>
      <c r="D4" s="799" t="s">
        <v>3</v>
      </c>
      <c r="E4" s="799" t="s">
        <v>63</v>
      </c>
      <c r="F4" s="799"/>
      <c r="G4" s="801" t="s">
        <v>64</v>
      </c>
      <c r="H4" s="801"/>
      <c r="I4" s="801"/>
    </row>
    <row r="5" spans="1:9" ht="15.75">
      <c r="A5" s="25"/>
      <c r="B5" s="802"/>
      <c r="C5" s="802"/>
      <c r="D5" s="802"/>
      <c r="E5" s="802"/>
      <c r="F5" s="802"/>
      <c r="G5" s="26"/>
      <c r="H5" s="802"/>
      <c r="I5" s="802"/>
    </row>
    <row r="6" spans="1:9" ht="47.25">
      <c r="A6" s="3" t="s">
        <v>65</v>
      </c>
      <c r="B6" s="803" t="s">
        <v>66</v>
      </c>
      <c r="C6" s="803"/>
      <c r="D6" s="803"/>
      <c r="E6" s="803" t="s">
        <v>5</v>
      </c>
      <c r="F6" s="803"/>
      <c r="G6" s="4" t="s">
        <v>67</v>
      </c>
      <c r="H6" s="804" t="s">
        <v>68</v>
      </c>
      <c r="I6" s="804" t="s">
        <v>1184</v>
      </c>
    </row>
    <row r="7" spans="1:9" ht="15.75">
      <c r="A7" s="8">
        <v>1</v>
      </c>
      <c r="B7" s="805" t="s">
        <v>70</v>
      </c>
      <c r="C7" s="806"/>
      <c r="D7" s="806"/>
      <c r="E7" s="806"/>
      <c r="F7" s="806"/>
      <c r="G7" s="838">
        <f>G8+G18+G28+G35+G53</f>
        <v>804958880</v>
      </c>
      <c r="H7" s="806"/>
      <c r="I7" s="806"/>
    </row>
    <row r="8" spans="1:9" ht="15.75">
      <c r="A8" s="13">
        <v>101</v>
      </c>
      <c r="B8" s="807" t="s">
        <v>71</v>
      </c>
      <c r="C8" s="808"/>
      <c r="D8" s="808"/>
      <c r="E8" s="808"/>
      <c r="F8" s="808"/>
      <c r="G8" s="830">
        <f>SUM(G9:G16)</f>
        <v>760642880</v>
      </c>
      <c r="H8" s="808"/>
      <c r="I8" s="808"/>
    </row>
    <row r="9" spans="1:9" ht="15.75">
      <c r="A9" s="17">
        <v>10101</v>
      </c>
      <c r="B9" s="809" t="s">
        <v>7</v>
      </c>
      <c r="C9" s="808"/>
      <c r="D9" s="808"/>
      <c r="E9" s="808"/>
      <c r="F9" s="808"/>
      <c r="G9" s="829">
        <v>44590000</v>
      </c>
      <c r="H9" s="808"/>
      <c r="I9" s="808" t="s">
        <v>9</v>
      </c>
    </row>
    <row r="10" spans="1:9" ht="15.75">
      <c r="A10" s="17">
        <v>10102</v>
      </c>
      <c r="B10" s="809" t="s">
        <v>10</v>
      </c>
      <c r="C10" s="808"/>
      <c r="D10" s="808"/>
      <c r="E10" s="808"/>
      <c r="F10" s="808"/>
      <c r="G10" s="829">
        <v>512760000</v>
      </c>
      <c r="H10" s="808"/>
      <c r="I10" s="808" t="s">
        <v>9</v>
      </c>
    </row>
    <row r="11" spans="1:9" ht="15.75">
      <c r="A11" s="17">
        <v>10103</v>
      </c>
      <c r="B11" s="809" t="s">
        <v>11</v>
      </c>
      <c r="C11" s="808"/>
      <c r="D11" s="808"/>
      <c r="E11" s="808"/>
      <c r="F11" s="808"/>
      <c r="G11" s="829">
        <v>36385152</v>
      </c>
      <c r="H11" s="808"/>
      <c r="I11" s="808" t="s">
        <v>9</v>
      </c>
    </row>
    <row r="12" spans="1:9" ht="15.75">
      <c r="A12" s="17">
        <v>10104</v>
      </c>
      <c r="B12" s="809" t="s">
        <v>72</v>
      </c>
      <c r="C12" s="808"/>
      <c r="D12" s="808"/>
      <c r="E12" s="808"/>
      <c r="F12" s="808"/>
      <c r="G12" s="829">
        <v>52410348</v>
      </c>
      <c r="H12" s="808"/>
      <c r="I12" s="839" t="s">
        <v>1185</v>
      </c>
    </row>
    <row r="13" spans="1:9" ht="15.75">
      <c r="A13" s="17">
        <v>10105</v>
      </c>
      <c r="B13" s="809" t="s">
        <v>13</v>
      </c>
      <c r="C13" s="808"/>
      <c r="D13" s="808"/>
      <c r="E13" s="808"/>
      <c r="F13" s="808"/>
      <c r="G13" s="829">
        <v>53950000</v>
      </c>
      <c r="H13" s="808"/>
      <c r="I13" s="808" t="s">
        <v>9</v>
      </c>
    </row>
    <row r="14" spans="1:9" ht="15.75">
      <c r="A14" s="17">
        <v>10106</v>
      </c>
      <c r="B14" s="810" t="s">
        <v>73</v>
      </c>
      <c r="C14" s="811"/>
      <c r="D14" s="812"/>
      <c r="E14" s="808"/>
      <c r="F14" s="808"/>
      <c r="G14" s="829">
        <v>2535000</v>
      </c>
      <c r="H14" s="808"/>
      <c r="I14" s="808" t="s">
        <v>9</v>
      </c>
    </row>
    <row r="15" spans="1:9" ht="15.75">
      <c r="A15" s="17">
        <v>10107</v>
      </c>
      <c r="B15" s="809" t="s">
        <v>14</v>
      </c>
      <c r="C15" s="808"/>
      <c r="D15" s="808"/>
      <c r="E15" s="808"/>
      <c r="F15" s="808"/>
      <c r="G15" s="829">
        <v>19800000</v>
      </c>
      <c r="H15" s="808"/>
      <c r="I15" s="808" t="s">
        <v>1186</v>
      </c>
    </row>
    <row r="16" spans="1:9" ht="15.75">
      <c r="A16" s="17">
        <v>10108</v>
      </c>
      <c r="B16" s="809" t="s">
        <v>1183</v>
      </c>
      <c r="C16" s="808"/>
      <c r="D16" s="808"/>
      <c r="E16" s="808"/>
      <c r="F16" s="808"/>
      <c r="G16" s="829">
        <v>38212380</v>
      </c>
      <c r="H16" s="808"/>
      <c r="I16" s="808" t="s">
        <v>21</v>
      </c>
    </row>
    <row r="17" spans="1:9" ht="15.75">
      <c r="A17" s="17">
        <v>10199</v>
      </c>
      <c r="B17" s="809" t="s">
        <v>74</v>
      </c>
      <c r="C17" s="808"/>
      <c r="D17" s="808"/>
      <c r="E17" s="808"/>
      <c r="F17" s="808"/>
      <c r="G17" s="829"/>
      <c r="H17" s="808"/>
      <c r="I17" s="808"/>
    </row>
    <row r="18" spans="1:9" ht="15.75">
      <c r="A18" s="13">
        <v>102</v>
      </c>
      <c r="B18" s="807" t="s">
        <v>75</v>
      </c>
      <c r="C18" s="808"/>
      <c r="D18" s="808"/>
      <c r="E18" s="808"/>
      <c r="F18" s="808"/>
      <c r="G18" s="830">
        <f>G19</f>
        <v>3774000</v>
      </c>
      <c r="H18" s="808"/>
      <c r="I18" s="808"/>
    </row>
    <row r="19" spans="1:9" ht="15.75">
      <c r="A19" s="17">
        <v>10201</v>
      </c>
      <c r="B19" s="809" t="s">
        <v>76</v>
      </c>
      <c r="C19" s="808"/>
      <c r="D19" s="808"/>
      <c r="E19" s="808"/>
      <c r="F19" s="808"/>
      <c r="G19" s="829">
        <v>3774000</v>
      </c>
      <c r="H19" s="808"/>
      <c r="I19" s="808" t="s">
        <v>1187</v>
      </c>
    </row>
    <row r="20" spans="1:9" ht="15.75">
      <c r="A20" s="17">
        <v>10202</v>
      </c>
      <c r="B20" s="809" t="s">
        <v>15</v>
      </c>
      <c r="C20" s="808"/>
      <c r="D20" s="808"/>
      <c r="E20" s="808"/>
      <c r="F20" s="808"/>
      <c r="G20" s="829"/>
      <c r="H20" s="808"/>
      <c r="I20" s="808"/>
    </row>
    <row r="21" spans="1:9" ht="15.75">
      <c r="A21" s="17">
        <v>10203</v>
      </c>
      <c r="B21" s="809" t="s">
        <v>77</v>
      </c>
      <c r="C21" s="808"/>
      <c r="D21" s="808"/>
      <c r="E21" s="808"/>
      <c r="F21" s="808"/>
      <c r="G21" s="829"/>
      <c r="H21" s="808"/>
      <c r="I21" s="808"/>
    </row>
    <row r="22" spans="1:9" ht="15.75">
      <c r="A22" s="17">
        <v>10290</v>
      </c>
      <c r="B22" s="809" t="s">
        <v>78</v>
      </c>
      <c r="C22" s="808"/>
      <c r="D22" s="808"/>
      <c r="E22" s="808"/>
      <c r="F22" s="808"/>
      <c r="G22" s="829"/>
      <c r="H22" s="808"/>
      <c r="I22" s="808"/>
    </row>
    <row r="23" spans="1:9" ht="15.75">
      <c r="A23" s="17">
        <v>10291</v>
      </c>
      <c r="B23" s="809" t="s">
        <v>79</v>
      </c>
      <c r="C23" s="808"/>
      <c r="D23" s="808"/>
      <c r="E23" s="808"/>
      <c r="F23" s="808"/>
      <c r="G23" s="829"/>
      <c r="H23" s="808"/>
      <c r="I23" s="808"/>
    </row>
    <row r="24" spans="1:9" ht="15.75">
      <c r="A24" s="17">
        <v>10292</v>
      </c>
      <c r="B24" s="809" t="s">
        <v>80</v>
      </c>
      <c r="C24" s="808"/>
      <c r="D24" s="808"/>
      <c r="E24" s="808"/>
      <c r="F24" s="808"/>
      <c r="G24" s="829"/>
      <c r="H24" s="808"/>
      <c r="I24" s="808"/>
    </row>
    <row r="25" spans="1:9" ht="15.75">
      <c r="A25" s="17">
        <v>10294</v>
      </c>
      <c r="B25" s="809" t="s">
        <v>81</v>
      </c>
      <c r="C25" s="808"/>
      <c r="D25" s="808"/>
      <c r="E25" s="808"/>
      <c r="F25" s="808"/>
      <c r="G25" s="829"/>
      <c r="H25" s="808"/>
      <c r="I25" s="808"/>
    </row>
    <row r="26" spans="1:9" ht="15.75">
      <c r="A26" s="17">
        <v>10295</v>
      </c>
      <c r="B26" s="809" t="s">
        <v>82</v>
      </c>
      <c r="C26" s="808"/>
      <c r="D26" s="808"/>
      <c r="E26" s="808"/>
      <c r="F26" s="808"/>
      <c r="G26" s="829"/>
      <c r="H26" s="808"/>
      <c r="I26" s="808"/>
    </row>
    <row r="27" spans="1:9" ht="15.75">
      <c r="A27" s="17">
        <v>10299</v>
      </c>
      <c r="B27" s="809" t="s">
        <v>83</v>
      </c>
      <c r="C27" s="808"/>
      <c r="D27" s="808"/>
      <c r="E27" s="808"/>
      <c r="F27" s="808"/>
      <c r="G27" s="829"/>
      <c r="H27" s="808"/>
      <c r="I27" s="808"/>
    </row>
    <row r="28" spans="1:9" ht="15.75">
      <c r="A28" s="13">
        <v>103</v>
      </c>
      <c r="B28" s="813" t="s">
        <v>84</v>
      </c>
      <c r="C28" s="814"/>
      <c r="D28" s="815"/>
      <c r="E28" s="808"/>
      <c r="F28" s="808"/>
      <c r="G28" s="830">
        <f>G30+G32+G33</f>
        <v>6921200</v>
      </c>
      <c r="H28" s="808"/>
      <c r="I28" s="808"/>
    </row>
    <row r="29" spans="1:9" ht="15.75">
      <c r="A29" s="17">
        <v>10301</v>
      </c>
      <c r="B29" s="809" t="s">
        <v>85</v>
      </c>
      <c r="C29" s="808"/>
      <c r="D29" s="816"/>
      <c r="E29" s="808"/>
      <c r="F29" s="808"/>
      <c r="G29" s="829"/>
      <c r="H29" s="808"/>
      <c r="I29" s="808"/>
    </row>
    <row r="30" spans="1:9" ht="15.75">
      <c r="A30" s="17">
        <v>10302</v>
      </c>
      <c r="B30" s="809" t="s">
        <v>86</v>
      </c>
      <c r="C30" s="808"/>
      <c r="D30" s="808"/>
      <c r="E30" s="808"/>
      <c r="F30" s="808"/>
      <c r="G30" s="829">
        <v>2143700</v>
      </c>
      <c r="H30" s="808"/>
      <c r="I30" s="808" t="s">
        <v>1187</v>
      </c>
    </row>
    <row r="31" spans="1:9" ht="15.75">
      <c r="A31" s="17">
        <v>10303</v>
      </c>
      <c r="B31" s="809" t="s">
        <v>87</v>
      </c>
      <c r="C31" s="808"/>
      <c r="D31" s="808"/>
      <c r="E31" s="808"/>
      <c r="F31" s="808"/>
      <c r="G31" s="829"/>
      <c r="H31" s="808"/>
      <c r="I31" s="808"/>
    </row>
    <row r="32" spans="1:9" ht="15.75">
      <c r="A32" s="17">
        <v>10390</v>
      </c>
      <c r="B32" s="809" t="s">
        <v>47</v>
      </c>
      <c r="C32" s="808"/>
      <c r="D32" s="808"/>
      <c r="E32" s="808"/>
      <c r="F32" s="808"/>
      <c r="G32" s="829">
        <v>2027500</v>
      </c>
      <c r="H32" s="808"/>
      <c r="I32" s="808" t="s">
        <v>46</v>
      </c>
    </row>
    <row r="33" spans="1:9" ht="15.75">
      <c r="A33" s="17">
        <v>10391</v>
      </c>
      <c r="B33" s="809" t="s">
        <v>88</v>
      </c>
      <c r="C33" s="808"/>
      <c r="D33" s="808"/>
      <c r="E33" s="808"/>
      <c r="F33" s="808"/>
      <c r="G33" s="829">
        <v>2750000</v>
      </c>
      <c r="H33" s="808"/>
      <c r="I33" s="808" t="s">
        <v>21</v>
      </c>
    </row>
    <row r="34" spans="1:9" ht="15.75">
      <c r="A34" s="17">
        <v>10399</v>
      </c>
      <c r="B34" s="809" t="s">
        <v>89</v>
      </c>
      <c r="C34" s="808"/>
      <c r="D34" s="808"/>
      <c r="E34" s="808"/>
      <c r="F34" s="808"/>
      <c r="G34" s="829"/>
      <c r="H34" s="808"/>
      <c r="I34" s="808"/>
    </row>
    <row r="35" spans="1:9" ht="15.75">
      <c r="A35" s="13">
        <v>104</v>
      </c>
      <c r="B35" s="813" t="s">
        <v>90</v>
      </c>
      <c r="C35" s="814"/>
      <c r="D35" s="815"/>
      <c r="E35" s="808"/>
      <c r="F35" s="808"/>
      <c r="G35" s="830">
        <f>SUM(G36:G52)</f>
        <v>30618300</v>
      </c>
      <c r="H35" s="808"/>
      <c r="I35" s="808"/>
    </row>
    <row r="36" spans="1:9" ht="15.75">
      <c r="A36" s="17">
        <v>10401</v>
      </c>
      <c r="B36" s="809" t="s">
        <v>91</v>
      </c>
      <c r="C36" s="808"/>
      <c r="D36" s="808"/>
      <c r="E36" s="808"/>
      <c r="F36" s="808"/>
      <c r="G36" s="829"/>
      <c r="H36" s="808"/>
      <c r="I36" s="808"/>
    </row>
    <row r="37" spans="1:9" ht="15.75">
      <c r="A37" s="17">
        <v>10402</v>
      </c>
      <c r="B37" s="809" t="s">
        <v>92</v>
      </c>
      <c r="C37" s="808"/>
      <c r="D37" s="808"/>
      <c r="E37" s="808"/>
      <c r="F37" s="808"/>
      <c r="G37" s="829"/>
      <c r="H37" s="808"/>
      <c r="I37" s="808"/>
    </row>
    <row r="38" spans="1:9" ht="15.75">
      <c r="A38" s="17">
        <v>10403</v>
      </c>
      <c r="B38" s="809" t="s">
        <v>93</v>
      </c>
      <c r="C38" s="808"/>
      <c r="D38" s="808"/>
      <c r="E38" s="808"/>
      <c r="F38" s="808"/>
      <c r="G38" s="829">
        <v>4630000</v>
      </c>
      <c r="H38" s="808"/>
      <c r="I38" s="808" t="s">
        <v>1186</v>
      </c>
    </row>
    <row r="39" spans="1:9" ht="15.75">
      <c r="A39" s="17">
        <v>10404</v>
      </c>
      <c r="B39" s="809" t="s">
        <v>94</v>
      </c>
      <c r="C39" s="808"/>
      <c r="D39" s="808"/>
      <c r="E39" s="808"/>
      <c r="F39" s="808"/>
      <c r="G39" s="829">
        <v>5750800</v>
      </c>
      <c r="H39" s="808"/>
      <c r="I39" s="808" t="s">
        <v>1186</v>
      </c>
    </row>
    <row r="40" spans="1:9" ht="15.75">
      <c r="A40" s="17">
        <v>10405</v>
      </c>
      <c r="B40" s="809" t="s">
        <v>95</v>
      </c>
      <c r="C40" s="808"/>
      <c r="D40" s="808"/>
      <c r="E40" s="808"/>
      <c r="F40" s="808"/>
      <c r="G40" s="829"/>
      <c r="H40" s="808"/>
      <c r="I40" s="808"/>
    </row>
    <row r="41" spans="1:9" ht="15.75">
      <c r="A41" s="17">
        <v>10406</v>
      </c>
      <c r="B41" s="809" t="s">
        <v>96</v>
      </c>
      <c r="C41" s="808"/>
      <c r="D41" s="808"/>
      <c r="E41" s="808"/>
      <c r="F41" s="808"/>
      <c r="G41" s="829"/>
      <c r="H41" s="808"/>
      <c r="I41" s="808"/>
    </row>
    <row r="42" spans="1:9" ht="15.75">
      <c r="A42" s="17">
        <v>10407</v>
      </c>
      <c r="B42" s="809" t="s">
        <v>97</v>
      </c>
      <c r="C42" s="808"/>
      <c r="D42" s="808"/>
      <c r="E42" s="808"/>
      <c r="F42" s="808"/>
      <c r="G42" s="829"/>
      <c r="H42" s="808"/>
      <c r="I42" s="808"/>
    </row>
    <row r="43" spans="1:9" ht="15.75">
      <c r="A43" s="17">
        <v>10408</v>
      </c>
      <c r="B43" s="809" t="s">
        <v>98</v>
      </c>
      <c r="C43" s="808"/>
      <c r="D43" s="808"/>
      <c r="E43" s="808"/>
      <c r="F43" s="808"/>
      <c r="G43" s="829">
        <v>20237500</v>
      </c>
      <c r="H43" s="808"/>
      <c r="I43" s="808" t="s">
        <v>21</v>
      </c>
    </row>
    <row r="44" spans="1:9" ht="15.75">
      <c r="A44" s="17">
        <v>10409</v>
      </c>
      <c r="B44" s="809" t="s">
        <v>99</v>
      </c>
      <c r="C44" s="808"/>
      <c r="D44" s="808"/>
      <c r="E44" s="808"/>
      <c r="F44" s="808"/>
      <c r="G44" s="829"/>
      <c r="H44" s="808"/>
      <c r="I44" s="808"/>
    </row>
    <row r="45" spans="1:9" ht="15.75">
      <c r="A45" s="17">
        <v>10410</v>
      </c>
      <c r="B45" s="809" t="s">
        <v>100</v>
      </c>
      <c r="C45" s="808"/>
      <c r="D45" s="808"/>
      <c r="E45" s="808"/>
      <c r="F45" s="808"/>
      <c r="G45" s="829"/>
      <c r="H45" s="808"/>
      <c r="I45" s="808"/>
    </row>
    <row r="46" spans="1:9" ht="15.75">
      <c r="A46" s="17">
        <v>10411</v>
      </c>
      <c r="B46" s="809" t="s">
        <v>1135</v>
      </c>
      <c r="C46" s="808"/>
      <c r="D46" s="808"/>
      <c r="E46" s="808"/>
      <c r="F46" s="808"/>
      <c r="G46" s="829"/>
      <c r="H46" s="808"/>
      <c r="I46" s="808"/>
    </row>
    <row r="47" spans="1:9" ht="15.75">
      <c r="A47" s="17">
        <v>10490</v>
      </c>
      <c r="B47" s="809" t="s">
        <v>101</v>
      </c>
      <c r="C47" s="808"/>
      <c r="D47" s="808"/>
      <c r="E47" s="808"/>
      <c r="F47" s="808"/>
      <c r="G47" s="829"/>
      <c r="H47" s="808"/>
      <c r="I47" s="808"/>
    </row>
    <row r="48" spans="1:9" ht="15.75">
      <c r="A48" s="17">
        <v>10493</v>
      </c>
      <c r="B48" s="809" t="s">
        <v>102</v>
      </c>
      <c r="C48" s="808"/>
      <c r="D48" s="808"/>
      <c r="E48" s="808"/>
      <c r="F48" s="808"/>
      <c r="G48" s="829"/>
      <c r="H48" s="808"/>
      <c r="I48" s="808"/>
    </row>
    <row r="49" spans="1:9" ht="15.75">
      <c r="A49" s="17">
        <v>10494</v>
      </c>
      <c r="B49" s="809" t="s">
        <v>103</v>
      </c>
      <c r="C49" s="808"/>
      <c r="D49" s="808"/>
      <c r="E49" s="808"/>
      <c r="F49" s="808"/>
      <c r="G49" s="829"/>
      <c r="H49" s="808"/>
      <c r="I49" s="808"/>
    </row>
    <row r="50" spans="1:9" ht="15.75">
      <c r="A50" s="17">
        <v>10495</v>
      </c>
      <c r="B50" s="809" t="s">
        <v>104</v>
      </c>
      <c r="C50" s="808"/>
      <c r="D50" s="808"/>
      <c r="E50" s="808"/>
      <c r="F50" s="808"/>
      <c r="G50" s="829"/>
      <c r="H50" s="808"/>
      <c r="I50" s="808"/>
    </row>
    <row r="51" spans="1:9" ht="15.75">
      <c r="A51" s="17">
        <v>10496</v>
      </c>
      <c r="B51" s="809" t="s">
        <v>105</v>
      </c>
      <c r="C51" s="808"/>
      <c r="D51" s="808"/>
      <c r="E51" s="808"/>
      <c r="F51" s="808"/>
      <c r="G51" s="829"/>
      <c r="H51" s="808"/>
      <c r="I51" s="808"/>
    </row>
    <row r="52" spans="1:9" ht="15.75">
      <c r="A52" s="17">
        <v>10499</v>
      </c>
      <c r="B52" s="809" t="s">
        <v>106</v>
      </c>
      <c r="C52" s="808"/>
      <c r="D52" s="808"/>
      <c r="E52" s="808"/>
      <c r="F52" s="808"/>
      <c r="G52" s="829"/>
      <c r="H52" s="808"/>
      <c r="I52" s="808"/>
    </row>
    <row r="53" spans="1:9" ht="15.75">
      <c r="A53" s="13">
        <v>105</v>
      </c>
      <c r="B53" s="807" t="s">
        <v>17</v>
      </c>
      <c r="C53" s="808"/>
      <c r="D53" s="808"/>
      <c r="E53" s="808"/>
      <c r="F53" s="808"/>
      <c r="G53" s="830">
        <f>G58</f>
        <v>3002500</v>
      </c>
      <c r="H53" s="808"/>
      <c r="I53" s="808"/>
    </row>
    <row r="54" spans="1:9" ht="15.75">
      <c r="A54" s="17">
        <v>10501</v>
      </c>
      <c r="B54" s="809" t="s">
        <v>107</v>
      </c>
      <c r="C54" s="808"/>
      <c r="D54" s="808"/>
      <c r="E54" s="808"/>
      <c r="F54" s="808"/>
      <c r="G54" s="829"/>
      <c r="H54" s="808"/>
      <c r="I54" s="808"/>
    </row>
    <row r="55" spans="1:9" ht="15.75">
      <c r="A55" s="17">
        <v>10502</v>
      </c>
      <c r="B55" s="810" t="s">
        <v>108</v>
      </c>
      <c r="C55" s="811"/>
      <c r="D55" s="812"/>
      <c r="E55" s="808"/>
      <c r="F55" s="808"/>
      <c r="G55" s="829"/>
      <c r="H55" s="808"/>
      <c r="I55" s="808"/>
    </row>
    <row r="56" spans="1:9" ht="15.75">
      <c r="A56" s="17">
        <v>10503</v>
      </c>
      <c r="B56" s="809" t="s">
        <v>1136</v>
      </c>
      <c r="C56" s="808"/>
      <c r="D56" s="808"/>
      <c r="E56" s="808"/>
      <c r="F56" s="808"/>
      <c r="G56" s="829"/>
      <c r="H56" s="808"/>
      <c r="I56" s="808"/>
    </row>
    <row r="57" spans="1:9" ht="15.75">
      <c r="A57" s="17">
        <v>10504</v>
      </c>
      <c r="B57" s="809" t="s">
        <v>1137</v>
      </c>
      <c r="C57" s="808"/>
      <c r="D57" s="808"/>
      <c r="E57" s="808"/>
      <c r="F57" s="808"/>
      <c r="G57" s="829"/>
      <c r="H57" s="808"/>
      <c r="I57" s="808"/>
    </row>
    <row r="58" spans="1:9" ht="15.75">
      <c r="A58" s="17">
        <v>10506</v>
      </c>
      <c r="B58" s="809" t="s">
        <v>109</v>
      </c>
      <c r="C58" s="808"/>
      <c r="D58" s="808"/>
      <c r="E58" s="808"/>
      <c r="F58" s="808"/>
      <c r="G58" s="829">
        <v>3002500</v>
      </c>
      <c r="H58" s="808"/>
      <c r="I58" s="808" t="s">
        <v>46</v>
      </c>
    </row>
    <row r="59" spans="1:9" ht="15.75">
      <c r="A59" s="17">
        <v>10507</v>
      </c>
      <c r="B59" s="809" t="s">
        <v>110</v>
      </c>
      <c r="C59" s="808"/>
      <c r="D59" s="808"/>
      <c r="E59" s="808"/>
      <c r="F59" s="808"/>
      <c r="G59" s="829"/>
      <c r="H59" s="808"/>
      <c r="I59" s="808"/>
    </row>
    <row r="60" spans="1:9" ht="15.75">
      <c r="A60" s="17">
        <v>10590</v>
      </c>
      <c r="B60" s="809" t="s">
        <v>111</v>
      </c>
      <c r="C60" s="808"/>
      <c r="D60" s="808"/>
      <c r="E60" s="808"/>
      <c r="F60" s="808"/>
      <c r="G60" s="829"/>
      <c r="H60" s="808"/>
      <c r="I60" s="808"/>
    </row>
    <row r="61" spans="1:9" ht="15.75">
      <c r="A61" s="17">
        <v>10591</v>
      </c>
      <c r="B61" s="809" t="s">
        <v>1138</v>
      </c>
      <c r="C61" s="808"/>
      <c r="D61" s="808"/>
      <c r="E61" s="808"/>
      <c r="F61" s="808"/>
      <c r="G61" s="829"/>
      <c r="H61" s="808"/>
      <c r="I61" s="808"/>
    </row>
    <row r="62" spans="1:9" ht="15.75">
      <c r="A62" s="17">
        <v>10592</v>
      </c>
      <c r="B62" s="809" t="s">
        <v>1139</v>
      </c>
      <c r="C62" s="808"/>
      <c r="D62" s="808"/>
      <c r="E62" s="808"/>
      <c r="F62" s="808"/>
      <c r="G62" s="829"/>
      <c r="H62" s="808"/>
      <c r="I62" s="808"/>
    </row>
    <row r="63" spans="1:9" ht="15.75">
      <c r="A63" s="17">
        <v>10593</v>
      </c>
      <c r="B63" s="809" t="s">
        <v>112</v>
      </c>
      <c r="C63" s="808"/>
      <c r="D63" s="808"/>
      <c r="E63" s="808"/>
      <c r="F63" s="808"/>
      <c r="G63" s="829"/>
      <c r="H63" s="808"/>
      <c r="I63" s="808"/>
    </row>
    <row r="64" spans="1:9" ht="15.75">
      <c r="A64" s="17">
        <v>10594</v>
      </c>
      <c r="B64" s="809" t="s">
        <v>51</v>
      </c>
      <c r="C64" s="808"/>
      <c r="D64" s="808"/>
      <c r="E64" s="808"/>
      <c r="F64" s="808"/>
      <c r="G64" s="829"/>
      <c r="H64" s="808"/>
      <c r="I64" s="808"/>
    </row>
    <row r="65" spans="1:9" ht="15.75">
      <c r="A65" s="17">
        <v>10595</v>
      </c>
      <c r="B65" s="809" t="s">
        <v>113</v>
      </c>
      <c r="C65" s="808"/>
      <c r="D65" s="808"/>
      <c r="E65" s="808"/>
      <c r="F65" s="808"/>
      <c r="G65" s="829"/>
      <c r="H65" s="808"/>
      <c r="I65" s="808"/>
    </row>
    <row r="66" spans="1:9" ht="15.75">
      <c r="A66" s="17">
        <v>10599</v>
      </c>
      <c r="B66" s="809" t="s">
        <v>114</v>
      </c>
      <c r="C66" s="808"/>
      <c r="D66" s="808"/>
      <c r="E66" s="808"/>
      <c r="F66" s="808"/>
      <c r="G66" s="829"/>
      <c r="H66" s="808"/>
      <c r="I66" s="808"/>
    </row>
    <row r="67" spans="1:9" ht="15.75">
      <c r="A67" s="8">
        <v>2</v>
      </c>
      <c r="B67" s="805" t="s">
        <v>115</v>
      </c>
      <c r="C67" s="806"/>
      <c r="D67" s="806"/>
      <c r="E67" s="806"/>
      <c r="F67" s="806"/>
      <c r="G67" s="838">
        <f>G68+G85+G103+G116+G133</f>
        <v>1024076900</v>
      </c>
      <c r="H67" s="806"/>
      <c r="I67" s="806"/>
    </row>
    <row r="68" spans="1:9" ht="15.75">
      <c r="A68" s="13">
        <v>201</v>
      </c>
      <c r="B68" s="807" t="s">
        <v>20</v>
      </c>
      <c r="C68" s="808"/>
      <c r="D68" s="808"/>
      <c r="E68" s="808"/>
      <c r="F68" s="808"/>
      <c r="G68" s="830">
        <f>G69</f>
        <v>11500000</v>
      </c>
      <c r="H68" s="808"/>
      <c r="I68" s="808"/>
    </row>
    <row r="69" spans="1:9" ht="15.75">
      <c r="A69" s="17">
        <v>20101</v>
      </c>
      <c r="B69" s="810" t="s">
        <v>116</v>
      </c>
      <c r="C69" s="811"/>
      <c r="D69" s="812"/>
      <c r="E69" s="808"/>
      <c r="F69" s="808"/>
      <c r="G69" s="829">
        <v>11500000</v>
      </c>
      <c r="H69" s="808"/>
      <c r="I69" s="808" t="s">
        <v>21</v>
      </c>
    </row>
    <row r="70" spans="1:9" ht="15.75">
      <c r="A70" s="17">
        <v>20102</v>
      </c>
      <c r="B70" s="809" t="s">
        <v>117</v>
      </c>
      <c r="C70" s="808"/>
      <c r="D70" s="808"/>
      <c r="E70" s="808"/>
      <c r="F70" s="808"/>
      <c r="G70" s="829"/>
      <c r="H70" s="808"/>
      <c r="I70" s="808"/>
    </row>
    <row r="71" spans="1:9" ht="15.75">
      <c r="A71" s="17">
        <v>20103</v>
      </c>
      <c r="B71" s="809" t="s">
        <v>1140</v>
      </c>
      <c r="C71" s="808"/>
      <c r="D71" s="808"/>
      <c r="E71" s="808"/>
      <c r="F71" s="808"/>
      <c r="G71" s="829"/>
      <c r="H71" s="808"/>
      <c r="I71" s="808"/>
    </row>
    <row r="72" spans="1:9" ht="15.75">
      <c r="A72" s="17">
        <v>20104</v>
      </c>
      <c r="B72" s="810" t="s">
        <v>1141</v>
      </c>
      <c r="C72" s="811"/>
      <c r="D72" s="812"/>
      <c r="E72" s="808"/>
      <c r="F72" s="808"/>
      <c r="G72" s="829"/>
      <c r="H72" s="808"/>
      <c r="I72" s="808"/>
    </row>
    <row r="73" spans="1:9" ht="15.75">
      <c r="A73" s="17">
        <v>20105</v>
      </c>
      <c r="B73" s="810" t="s">
        <v>118</v>
      </c>
      <c r="C73" s="811"/>
      <c r="D73" s="812"/>
      <c r="E73" s="808"/>
      <c r="F73" s="808"/>
      <c r="G73" s="829"/>
      <c r="H73" s="808"/>
      <c r="I73" s="808"/>
    </row>
    <row r="74" spans="1:9" ht="15.75">
      <c r="A74" s="17">
        <v>20106</v>
      </c>
      <c r="B74" s="817" t="s">
        <v>119</v>
      </c>
      <c r="C74" s="817"/>
      <c r="D74" s="817"/>
      <c r="E74" s="808"/>
      <c r="F74" s="808"/>
      <c r="G74" s="829"/>
      <c r="H74" s="808"/>
      <c r="I74" s="808"/>
    </row>
    <row r="75" spans="1:9" ht="15.75">
      <c r="A75" s="17">
        <v>20107</v>
      </c>
      <c r="B75" s="817" t="s">
        <v>1142</v>
      </c>
      <c r="C75" s="817"/>
      <c r="D75" s="817"/>
      <c r="E75" s="808"/>
      <c r="F75" s="808"/>
      <c r="G75" s="829"/>
      <c r="H75" s="808"/>
      <c r="I75" s="808"/>
    </row>
    <row r="76" spans="1:9" ht="15.75">
      <c r="A76" s="17">
        <v>20108</v>
      </c>
      <c r="B76" s="809" t="s">
        <v>120</v>
      </c>
      <c r="C76" s="808"/>
      <c r="D76" s="808"/>
      <c r="E76" s="808"/>
      <c r="F76" s="808"/>
      <c r="G76" s="829"/>
      <c r="H76" s="808"/>
      <c r="I76" s="808"/>
    </row>
    <row r="77" spans="1:9" ht="15.75">
      <c r="A77" s="17">
        <v>20109</v>
      </c>
      <c r="B77" s="809" t="s">
        <v>1143</v>
      </c>
      <c r="C77" s="808"/>
      <c r="D77" s="808"/>
      <c r="E77" s="808"/>
      <c r="F77" s="808"/>
      <c r="G77" s="829"/>
      <c r="H77" s="808"/>
      <c r="I77" s="808"/>
    </row>
    <row r="78" spans="1:9" ht="15.75">
      <c r="A78" s="17">
        <v>20110</v>
      </c>
      <c r="B78" s="809" t="s">
        <v>121</v>
      </c>
      <c r="C78" s="808"/>
      <c r="D78" s="808"/>
      <c r="E78" s="808"/>
      <c r="F78" s="808"/>
      <c r="G78" s="829"/>
      <c r="H78" s="808"/>
      <c r="I78" s="808"/>
    </row>
    <row r="79" spans="1:9" ht="15.75">
      <c r="A79" s="17">
        <v>20190</v>
      </c>
      <c r="B79" s="809" t="s">
        <v>122</v>
      </c>
      <c r="C79" s="808"/>
      <c r="D79" s="808"/>
      <c r="E79" s="808"/>
      <c r="F79" s="808"/>
      <c r="G79" s="829"/>
      <c r="H79" s="808"/>
      <c r="I79" s="808"/>
    </row>
    <row r="80" spans="1:9" ht="15.75">
      <c r="A80" s="17">
        <v>20191</v>
      </c>
      <c r="B80" s="809" t="s">
        <v>1144</v>
      </c>
      <c r="C80" s="808"/>
      <c r="D80" s="808"/>
      <c r="E80" s="808"/>
      <c r="F80" s="808"/>
      <c r="G80" s="829"/>
      <c r="H80" s="808"/>
      <c r="I80" s="808"/>
    </row>
    <row r="81" spans="1:9" ht="15.75">
      <c r="A81" s="17">
        <v>20192</v>
      </c>
      <c r="B81" s="809" t="s">
        <v>1145</v>
      </c>
      <c r="C81" s="808"/>
      <c r="D81" s="808"/>
      <c r="E81" s="808"/>
      <c r="F81" s="808"/>
      <c r="G81" s="829"/>
      <c r="H81" s="808"/>
      <c r="I81" s="808"/>
    </row>
    <row r="82" spans="1:9" ht="15.75">
      <c r="A82" s="17">
        <v>20193</v>
      </c>
      <c r="B82" s="809" t="s">
        <v>1146</v>
      </c>
      <c r="C82" s="808"/>
      <c r="D82" s="808"/>
      <c r="E82" s="808"/>
      <c r="F82" s="808"/>
      <c r="G82" s="829"/>
      <c r="H82" s="808"/>
      <c r="I82" s="808"/>
    </row>
    <row r="83" spans="1:9" ht="15.75">
      <c r="A83" s="17">
        <v>20194</v>
      </c>
      <c r="B83" s="809" t="s">
        <v>123</v>
      </c>
      <c r="C83" s="808"/>
      <c r="D83" s="808"/>
      <c r="E83" s="808"/>
      <c r="F83" s="808"/>
      <c r="G83" s="829"/>
      <c r="H83" s="808"/>
      <c r="I83" s="808"/>
    </row>
    <row r="84" spans="1:9" ht="15.75">
      <c r="A84" s="17">
        <v>20199</v>
      </c>
      <c r="B84" s="809" t="s">
        <v>124</v>
      </c>
      <c r="C84" s="808"/>
      <c r="D84" s="808"/>
      <c r="E84" s="808"/>
      <c r="F84" s="808"/>
      <c r="G84" s="829"/>
      <c r="H84" s="808"/>
      <c r="I84" s="808"/>
    </row>
    <row r="85" spans="1:9" ht="15.75">
      <c r="A85" s="13">
        <v>202</v>
      </c>
      <c r="B85" s="807" t="s">
        <v>22</v>
      </c>
      <c r="C85" s="808"/>
      <c r="D85" s="808"/>
      <c r="E85" s="808"/>
      <c r="F85" s="808"/>
      <c r="G85" s="830">
        <f>SUM(G86:G102)</f>
        <v>107400000</v>
      </c>
      <c r="H85" s="808"/>
      <c r="I85" s="808"/>
    </row>
    <row r="86" spans="1:9" ht="15.75">
      <c r="A86" s="17">
        <v>20201</v>
      </c>
      <c r="B86" s="809" t="s">
        <v>125</v>
      </c>
      <c r="C86" s="808"/>
      <c r="D86" s="808"/>
      <c r="E86" s="808"/>
      <c r="F86" s="808"/>
      <c r="G86" s="829"/>
      <c r="H86" s="808"/>
      <c r="I86" s="808"/>
    </row>
    <row r="87" spans="1:9" ht="15.75">
      <c r="A87" s="17">
        <v>20202</v>
      </c>
      <c r="B87" s="809" t="s">
        <v>126</v>
      </c>
      <c r="C87" s="808"/>
      <c r="D87" s="808"/>
      <c r="E87" s="808"/>
      <c r="F87" s="808"/>
      <c r="G87" s="829">
        <v>10500000</v>
      </c>
      <c r="H87" s="808"/>
      <c r="I87" s="808" t="s">
        <v>21</v>
      </c>
    </row>
    <row r="88" spans="1:9" ht="15.75">
      <c r="A88" s="17">
        <v>20203</v>
      </c>
      <c r="B88" s="810" t="s">
        <v>127</v>
      </c>
      <c r="C88" s="811"/>
      <c r="D88" s="812"/>
      <c r="E88" s="808"/>
      <c r="F88" s="808"/>
      <c r="G88" s="829"/>
      <c r="H88" s="808"/>
      <c r="I88" s="808"/>
    </row>
    <row r="89" spans="1:9" ht="15.75">
      <c r="A89" s="17">
        <v>20204</v>
      </c>
      <c r="B89" s="809" t="s">
        <v>24</v>
      </c>
      <c r="C89" s="808"/>
      <c r="D89" s="808"/>
      <c r="E89" s="808"/>
      <c r="F89" s="808"/>
      <c r="G89" s="829">
        <v>38875000</v>
      </c>
      <c r="H89" s="808"/>
      <c r="I89" s="808" t="s">
        <v>21</v>
      </c>
    </row>
    <row r="90" spans="1:9" ht="15.75">
      <c r="A90" s="17">
        <v>20206</v>
      </c>
      <c r="B90" s="809" t="s">
        <v>128</v>
      </c>
      <c r="C90" s="808"/>
      <c r="D90" s="808"/>
      <c r="E90" s="808"/>
      <c r="F90" s="808"/>
      <c r="G90" s="829"/>
      <c r="H90" s="808"/>
      <c r="I90" s="808"/>
    </row>
    <row r="91" spans="1:9" ht="15.75">
      <c r="A91" s="17">
        <v>20208</v>
      </c>
      <c r="B91" s="809" t="s">
        <v>129</v>
      </c>
      <c r="C91" s="808"/>
      <c r="D91" s="808"/>
      <c r="E91" s="808"/>
      <c r="F91" s="808"/>
      <c r="G91" s="829"/>
      <c r="H91" s="808"/>
      <c r="I91" s="808"/>
    </row>
    <row r="92" spans="1:9" ht="15.75">
      <c r="A92" s="17">
        <v>20209</v>
      </c>
      <c r="B92" s="810" t="s">
        <v>130</v>
      </c>
      <c r="C92" s="811"/>
      <c r="D92" s="812"/>
      <c r="E92" s="808"/>
      <c r="F92" s="808"/>
      <c r="G92" s="829"/>
      <c r="H92" s="808"/>
      <c r="I92" s="808"/>
    </row>
    <row r="93" spans="1:9" ht="15.75">
      <c r="A93" s="17">
        <v>20290</v>
      </c>
      <c r="B93" s="809" t="s">
        <v>131</v>
      </c>
      <c r="C93" s="808"/>
      <c r="D93" s="808"/>
      <c r="E93" s="808"/>
      <c r="F93" s="808"/>
      <c r="G93" s="829"/>
      <c r="H93" s="808"/>
      <c r="I93" s="808"/>
    </row>
    <row r="94" spans="1:9" ht="15.75">
      <c r="A94" s="17">
        <v>20291</v>
      </c>
      <c r="B94" s="809" t="s">
        <v>132</v>
      </c>
      <c r="C94" s="808"/>
      <c r="D94" s="808"/>
      <c r="E94" s="808"/>
      <c r="F94" s="808"/>
      <c r="G94" s="829">
        <v>10625000</v>
      </c>
      <c r="H94" s="808"/>
      <c r="I94" s="808" t="s">
        <v>21</v>
      </c>
    </row>
    <row r="95" spans="1:9" ht="15.75">
      <c r="A95" s="17">
        <v>20292</v>
      </c>
      <c r="B95" s="809" t="s">
        <v>133</v>
      </c>
      <c r="C95" s="808"/>
      <c r="D95" s="808"/>
      <c r="E95" s="808"/>
      <c r="F95" s="808"/>
      <c r="G95" s="829"/>
      <c r="H95" s="808"/>
      <c r="I95" s="808"/>
    </row>
    <row r="96" spans="1:9" ht="15.75">
      <c r="A96" s="17">
        <v>20293</v>
      </c>
      <c r="B96" s="809" t="s">
        <v>134</v>
      </c>
      <c r="C96" s="808"/>
      <c r="D96" s="808"/>
      <c r="E96" s="808"/>
      <c r="F96" s="808"/>
      <c r="G96" s="829"/>
      <c r="H96" s="808"/>
      <c r="I96" s="808"/>
    </row>
    <row r="97" spans="1:9" ht="15.75">
      <c r="A97" s="17">
        <v>20294</v>
      </c>
      <c r="B97" s="809" t="s">
        <v>57</v>
      </c>
      <c r="C97" s="808"/>
      <c r="D97" s="808"/>
      <c r="E97" s="808"/>
      <c r="F97" s="808"/>
      <c r="G97" s="829">
        <v>10200000</v>
      </c>
      <c r="H97" s="808"/>
      <c r="I97" s="808" t="s">
        <v>21</v>
      </c>
    </row>
    <row r="98" spans="1:9" ht="15.75">
      <c r="A98" s="17">
        <v>20295</v>
      </c>
      <c r="B98" s="809" t="s">
        <v>135</v>
      </c>
      <c r="C98" s="808"/>
      <c r="D98" s="808"/>
      <c r="E98" s="808"/>
      <c r="F98" s="808"/>
      <c r="G98" s="829"/>
      <c r="H98" s="808"/>
      <c r="I98" s="808"/>
    </row>
    <row r="99" spans="1:9" ht="15.75">
      <c r="A99" s="17">
        <v>20296</v>
      </c>
      <c r="B99" s="809" t="s">
        <v>1147</v>
      </c>
      <c r="C99" s="808"/>
      <c r="D99" s="808"/>
      <c r="E99" s="808"/>
      <c r="F99" s="808"/>
      <c r="G99" s="829"/>
      <c r="H99" s="808"/>
      <c r="I99" s="808"/>
    </row>
    <row r="100" spans="1:9" ht="15.75">
      <c r="A100" s="17">
        <v>20297</v>
      </c>
      <c r="B100" s="809" t="s">
        <v>136</v>
      </c>
      <c r="C100" s="808"/>
      <c r="D100" s="808"/>
      <c r="E100" s="808"/>
      <c r="F100" s="808"/>
      <c r="G100" s="829"/>
      <c r="H100" s="808"/>
      <c r="I100" s="808"/>
    </row>
    <row r="101" spans="1:9" ht="15.75">
      <c r="A101" s="17">
        <v>20298</v>
      </c>
      <c r="B101" s="809" t="s">
        <v>137</v>
      </c>
      <c r="C101" s="808"/>
      <c r="D101" s="808"/>
      <c r="E101" s="808"/>
      <c r="F101" s="808"/>
      <c r="G101" s="829">
        <v>37200000</v>
      </c>
      <c r="H101" s="808"/>
      <c r="I101" s="808" t="s">
        <v>21</v>
      </c>
    </row>
    <row r="102" spans="1:9" ht="15.75">
      <c r="A102" s="17">
        <v>20299</v>
      </c>
      <c r="B102" s="809" t="s">
        <v>138</v>
      </c>
      <c r="C102" s="808"/>
      <c r="D102" s="808"/>
      <c r="E102" s="808"/>
      <c r="F102" s="808"/>
      <c r="G102" s="829"/>
      <c r="H102" s="808"/>
      <c r="I102" s="808"/>
    </row>
    <row r="103" spans="1:9" ht="15.75">
      <c r="A103" s="13">
        <v>203</v>
      </c>
      <c r="B103" s="807" t="s">
        <v>25</v>
      </c>
      <c r="C103" s="808"/>
      <c r="D103" s="808"/>
      <c r="E103" s="808"/>
      <c r="F103" s="808"/>
      <c r="G103" s="830">
        <f>SUM(G104:G115)</f>
        <v>832950000</v>
      </c>
      <c r="H103" s="808"/>
      <c r="I103" s="808"/>
    </row>
    <row r="104" spans="1:9" ht="15.75">
      <c r="A104" s="17">
        <v>20302</v>
      </c>
      <c r="B104" s="809" t="s">
        <v>139</v>
      </c>
      <c r="C104" s="808"/>
      <c r="D104" s="808"/>
      <c r="E104" s="808"/>
      <c r="F104" s="808"/>
      <c r="G104" s="829">
        <v>175000000</v>
      </c>
      <c r="H104" s="808"/>
      <c r="I104" s="808" t="s">
        <v>1188</v>
      </c>
    </row>
    <row r="105" spans="1:9" ht="15.75">
      <c r="A105" s="17">
        <v>20303</v>
      </c>
      <c r="B105" s="809" t="s">
        <v>1148</v>
      </c>
      <c r="C105" s="808"/>
      <c r="D105" s="808"/>
      <c r="E105" s="808"/>
      <c r="F105" s="808"/>
      <c r="G105" s="829"/>
      <c r="H105" s="808"/>
      <c r="I105" s="808"/>
    </row>
    <row r="106" spans="1:9" ht="15.75">
      <c r="A106" s="17">
        <v>20305</v>
      </c>
      <c r="B106" s="809" t="s">
        <v>1149</v>
      </c>
      <c r="C106" s="808"/>
      <c r="D106" s="808"/>
      <c r="E106" s="808"/>
      <c r="F106" s="808"/>
      <c r="G106" s="829"/>
      <c r="H106" s="808"/>
      <c r="I106" s="808"/>
    </row>
    <row r="107" spans="1:9" ht="15.75">
      <c r="A107" s="17">
        <v>20306</v>
      </c>
      <c r="B107" s="809" t="s">
        <v>1150</v>
      </c>
      <c r="C107" s="808"/>
      <c r="D107" s="808"/>
      <c r="E107" s="808"/>
      <c r="F107" s="808"/>
      <c r="G107" s="829">
        <v>125000000</v>
      </c>
      <c r="H107" s="808"/>
      <c r="I107" s="808" t="s">
        <v>1188</v>
      </c>
    </row>
    <row r="108" spans="1:9" ht="15.75">
      <c r="A108" s="20">
        <v>20310</v>
      </c>
      <c r="B108" s="818" t="s">
        <v>140</v>
      </c>
      <c r="C108" s="819"/>
      <c r="D108" s="819"/>
      <c r="E108" s="819"/>
      <c r="F108" s="819"/>
      <c r="G108" s="835">
        <v>245160000</v>
      </c>
      <c r="H108" s="819"/>
      <c r="I108" s="819" t="s">
        <v>21</v>
      </c>
    </row>
    <row r="109" spans="1:9" ht="15.75">
      <c r="A109" s="20">
        <v>20311</v>
      </c>
      <c r="B109" s="820" t="s">
        <v>141</v>
      </c>
      <c r="C109" s="821"/>
      <c r="D109" s="822"/>
      <c r="E109" s="819"/>
      <c r="F109" s="819"/>
      <c r="G109" s="835">
        <v>287790000</v>
      </c>
      <c r="H109" s="819"/>
      <c r="I109" s="819" t="s">
        <v>21</v>
      </c>
    </row>
    <row r="110" spans="1:9" ht="15.75">
      <c r="A110" s="20">
        <v>20312</v>
      </c>
      <c r="B110" s="818" t="s">
        <v>142</v>
      </c>
      <c r="C110" s="819"/>
      <c r="D110" s="819"/>
      <c r="E110" s="819"/>
      <c r="F110" s="819"/>
      <c r="G110" s="835"/>
      <c r="H110" s="819"/>
      <c r="I110" s="819"/>
    </row>
    <row r="111" spans="1:9" ht="15.75">
      <c r="A111" s="20">
        <v>20314</v>
      </c>
      <c r="B111" s="818" t="s">
        <v>143</v>
      </c>
      <c r="C111" s="819"/>
      <c r="D111" s="819"/>
      <c r="E111" s="819"/>
      <c r="F111" s="819"/>
      <c r="G111" s="835"/>
      <c r="H111" s="819"/>
      <c r="I111" s="819"/>
    </row>
    <row r="112" spans="1:9" ht="15.75">
      <c r="A112" s="17">
        <v>20315</v>
      </c>
      <c r="B112" s="809" t="s">
        <v>144</v>
      </c>
      <c r="C112" s="808"/>
      <c r="D112" s="808"/>
      <c r="E112" s="808"/>
      <c r="F112" s="808"/>
      <c r="G112" s="829"/>
      <c r="H112" s="808"/>
      <c r="I112" s="808"/>
    </row>
    <row r="113" spans="1:9" ht="15.75">
      <c r="A113" s="17">
        <v>20317</v>
      </c>
      <c r="B113" s="809" t="s">
        <v>1151</v>
      </c>
      <c r="C113" s="808"/>
      <c r="D113" s="816"/>
      <c r="E113" s="808"/>
      <c r="F113" s="808"/>
      <c r="G113" s="829"/>
      <c r="H113" s="808"/>
      <c r="I113" s="808"/>
    </row>
    <row r="114" spans="1:9" ht="15.75">
      <c r="A114" s="17">
        <v>20320</v>
      </c>
      <c r="B114" s="809" t="s">
        <v>145</v>
      </c>
      <c r="C114" s="808"/>
      <c r="D114" s="808"/>
      <c r="E114" s="808"/>
      <c r="F114" s="808"/>
      <c r="G114" s="829"/>
      <c r="H114" s="808"/>
      <c r="I114" s="808"/>
    </row>
    <row r="115" spans="1:9" ht="15.75">
      <c r="A115" s="17">
        <v>20390</v>
      </c>
      <c r="B115" s="809" t="s">
        <v>1152</v>
      </c>
      <c r="C115" s="808"/>
      <c r="D115" s="808"/>
      <c r="E115" s="808"/>
      <c r="F115" s="808"/>
      <c r="G115" s="829"/>
      <c r="H115" s="808"/>
      <c r="I115" s="808"/>
    </row>
    <row r="116" spans="1:9" ht="15.75">
      <c r="A116" s="13">
        <v>204</v>
      </c>
      <c r="B116" s="807" t="s">
        <v>146</v>
      </c>
      <c r="C116" s="808"/>
      <c r="D116" s="808"/>
      <c r="E116" s="808"/>
      <c r="F116" s="808"/>
      <c r="G116" s="830">
        <f>SUM(G117:G130)</f>
        <v>68226900</v>
      </c>
      <c r="H116" s="808"/>
      <c r="I116" s="808"/>
    </row>
    <row r="117" spans="1:9" ht="15.75">
      <c r="A117" s="17">
        <v>20401</v>
      </c>
      <c r="B117" s="810" t="s">
        <v>147</v>
      </c>
      <c r="C117" s="811"/>
      <c r="D117" s="812"/>
      <c r="E117" s="808"/>
      <c r="F117" s="808"/>
      <c r="G117" s="829">
        <v>30000000</v>
      </c>
      <c r="H117" s="808"/>
      <c r="I117" s="808" t="s">
        <v>21</v>
      </c>
    </row>
    <row r="118" spans="1:9" ht="15.75">
      <c r="A118" s="17"/>
      <c r="B118" s="831"/>
      <c r="C118" s="832"/>
      <c r="D118" s="833"/>
      <c r="E118" s="808"/>
      <c r="F118" s="808"/>
      <c r="G118" s="829"/>
      <c r="H118" s="808"/>
      <c r="I118" s="808"/>
    </row>
    <row r="119" spans="1:9" ht="15.75">
      <c r="A119" s="17">
        <v>20403</v>
      </c>
      <c r="B119" s="834" t="s">
        <v>1189</v>
      </c>
      <c r="C119" s="832"/>
      <c r="D119" s="833"/>
      <c r="E119" s="808"/>
      <c r="F119" s="808"/>
      <c r="G119" s="829">
        <v>10884900</v>
      </c>
      <c r="H119" s="808"/>
      <c r="I119" s="808" t="s">
        <v>21</v>
      </c>
    </row>
    <row r="120" spans="1:9" ht="15.75">
      <c r="A120" s="17">
        <v>20404</v>
      </c>
      <c r="B120" s="809" t="s">
        <v>1131</v>
      </c>
      <c r="C120" s="808"/>
      <c r="D120" s="808"/>
      <c r="E120" s="808"/>
      <c r="F120" s="808"/>
      <c r="G120" s="829">
        <v>17469000</v>
      </c>
      <c r="H120" s="808"/>
      <c r="I120" s="808" t="s">
        <v>21</v>
      </c>
    </row>
    <row r="121" spans="1:9" ht="15.75">
      <c r="A121" s="17">
        <v>20405</v>
      </c>
      <c r="B121" s="810" t="s">
        <v>148</v>
      </c>
      <c r="C121" s="811"/>
      <c r="D121" s="812"/>
      <c r="E121" s="808"/>
      <c r="F121" s="808"/>
      <c r="G121" s="829"/>
      <c r="H121" s="808"/>
      <c r="I121" s="808"/>
    </row>
    <row r="122" spans="1:9" ht="15.75">
      <c r="A122" s="17">
        <v>20406</v>
      </c>
      <c r="B122" s="809" t="s">
        <v>1153</v>
      </c>
      <c r="C122" s="808"/>
      <c r="D122" s="808"/>
      <c r="E122" s="808"/>
      <c r="F122" s="808"/>
      <c r="G122" s="829"/>
      <c r="H122" s="808"/>
      <c r="I122" s="808"/>
    </row>
    <row r="123" spans="1:9" ht="15.75">
      <c r="A123" s="17">
        <v>20414</v>
      </c>
      <c r="B123" s="809" t="s">
        <v>149</v>
      </c>
      <c r="C123" s="808"/>
      <c r="D123" s="808"/>
      <c r="E123" s="808"/>
      <c r="F123" s="808"/>
      <c r="G123" s="829"/>
      <c r="H123" s="808"/>
      <c r="I123" s="808"/>
    </row>
    <row r="124" spans="1:9" ht="15.75">
      <c r="A124" s="17">
        <v>20417</v>
      </c>
      <c r="B124" s="809" t="s">
        <v>150</v>
      </c>
      <c r="C124" s="808"/>
      <c r="D124" s="808"/>
      <c r="E124" s="808"/>
      <c r="F124" s="808"/>
      <c r="G124" s="829"/>
      <c r="H124" s="808"/>
      <c r="I124" s="808"/>
    </row>
    <row r="125" spans="1:9" ht="15.75">
      <c r="A125" s="17">
        <v>20490</v>
      </c>
      <c r="B125" s="809" t="s">
        <v>1154</v>
      </c>
      <c r="C125" s="808"/>
      <c r="D125" s="808"/>
      <c r="E125" s="808"/>
      <c r="F125" s="808"/>
      <c r="G125" s="829"/>
      <c r="H125" s="808"/>
      <c r="I125" s="808"/>
    </row>
    <row r="126" spans="1:9" ht="15.75">
      <c r="A126" s="17">
        <v>20491</v>
      </c>
      <c r="B126" s="809" t="s">
        <v>151</v>
      </c>
      <c r="C126" s="808"/>
      <c r="D126" s="808"/>
      <c r="E126" s="808"/>
      <c r="F126" s="808"/>
      <c r="G126" s="829">
        <v>9873000</v>
      </c>
      <c r="H126" s="808"/>
      <c r="I126" s="808" t="s">
        <v>21</v>
      </c>
    </row>
    <row r="127" spans="1:9" ht="15.75">
      <c r="A127" s="17">
        <v>20492</v>
      </c>
      <c r="B127" s="809" t="s">
        <v>1155</v>
      </c>
      <c r="C127" s="808"/>
      <c r="D127" s="808"/>
      <c r="E127" s="808"/>
      <c r="F127" s="808"/>
      <c r="G127" s="829"/>
      <c r="H127" s="808"/>
      <c r="I127" s="808"/>
    </row>
    <row r="128" spans="1:9" ht="15.75">
      <c r="A128" s="17">
        <v>20493</v>
      </c>
      <c r="B128" s="809" t="s">
        <v>1156</v>
      </c>
      <c r="C128" s="808"/>
      <c r="D128" s="808"/>
      <c r="E128" s="808"/>
      <c r="F128" s="808"/>
      <c r="G128" s="829"/>
      <c r="H128" s="808"/>
      <c r="I128" s="808"/>
    </row>
    <row r="129" spans="1:9" ht="15.75">
      <c r="A129" s="17">
        <v>20494</v>
      </c>
      <c r="B129" s="809" t="s">
        <v>1157</v>
      </c>
      <c r="C129" s="808"/>
      <c r="D129" s="808"/>
      <c r="E129" s="808"/>
      <c r="F129" s="808"/>
      <c r="G129" s="829"/>
      <c r="H129" s="808"/>
      <c r="I129" s="808"/>
    </row>
    <row r="130" spans="1:9" ht="15.75">
      <c r="A130" s="17">
        <v>20499</v>
      </c>
      <c r="B130" s="809" t="s">
        <v>152</v>
      </c>
      <c r="C130" s="808"/>
      <c r="D130" s="808"/>
      <c r="E130" s="808"/>
      <c r="F130" s="808"/>
      <c r="G130" s="829"/>
      <c r="H130" s="808"/>
      <c r="I130" s="808"/>
    </row>
    <row r="131" spans="1:9" ht="15.75">
      <c r="A131" s="13">
        <v>205</v>
      </c>
      <c r="B131" s="807" t="s">
        <v>153</v>
      </c>
      <c r="C131" s="808"/>
      <c r="D131" s="808"/>
      <c r="E131" s="808"/>
      <c r="F131" s="808"/>
      <c r="G131" s="829"/>
      <c r="H131" s="808"/>
      <c r="I131" s="808"/>
    </row>
    <row r="132" spans="1:9" ht="15.75">
      <c r="A132" s="823">
        <v>20591</v>
      </c>
      <c r="B132" s="824" t="s">
        <v>1158</v>
      </c>
      <c r="C132" s="825"/>
      <c r="D132" s="825"/>
      <c r="E132" s="825"/>
      <c r="F132" s="825"/>
      <c r="G132" s="836"/>
      <c r="H132" s="825"/>
      <c r="I132" s="825"/>
    </row>
    <row r="133" spans="1:9" ht="15.75">
      <c r="A133" s="13">
        <v>206</v>
      </c>
      <c r="B133" s="807" t="s">
        <v>154</v>
      </c>
      <c r="C133" s="808"/>
      <c r="D133" s="808"/>
      <c r="E133" s="808"/>
      <c r="F133" s="808"/>
      <c r="G133" s="830">
        <f>G135</f>
        <v>4000000</v>
      </c>
      <c r="H133" s="808"/>
      <c r="I133" s="808"/>
    </row>
    <row r="134" spans="1:9" ht="15.75">
      <c r="A134" s="17">
        <v>20601</v>
      </c>
      <c r="B134" s="809" t="s">
        <v>155</v>
      </c>
      <c r="C134" s="808"/>
      <c r="D134" s="808"/>
      <c r="E134" s="808"/>
      <c r="F134" s="808"/>
      <c r="G134" s="829"/>
      <c r="H134" s="808"/>
      <c r="I134" s="808"/>
    </row>
    <row r="135" spans="1:9" ht="15.75">
      <c r="A135" s="17">
        <v>20602</v>
      </c>
      <c r="B135" s="809" t="s">
        <v>156</v>
      </c>
      <c r="C135" s="808"/>
      <c r="D135" s="808"/>
      <c r="E135" s="808"/>
      <c r="F135" s="808"/>
      <c r="G135" s="829">
        <v>4000000</v>
      </c>
      <c r="H135" s="808"/>
      <c r="I135" s="808" t="s">
        <v>21</v>
      </c>
    </row>
    <row r="136" spans="1:9" ht="15.75">
      <c r="A136" s="17">
        <v>20603</v>
      </c>
      <c r="B136" s="809" t="s">
        <v>157</v>
      </c>
      <c r="C136" s="808"/>
      <c r="D136" s="808"/>
      <c r="E136" s="808"/>
      <c r="F136" s="808"/>
      <c r="G136" s="829"/>
      <c r="H136" s="808"/>
      <c r="I136" s="808"/>
    </row>
    <row r="137" spans="1:9" ht="15.75">
      <c r="A137" s="17">
        <v>20691</v>
      </c>
      <c r="B137" s="809" t="s">
        <v>158</v>
      </c>
      <c r="C137" s="808"/>
      <c r="D137" s="808"/>
      <c r="E137" s="808"/>
      <c r="F137" s="808"/>
      <c r="G137" s="829"/>
      <c r="H137" s="808"/>
      <c r="I137" s="808"/>
    </row>
    <row r="138" spans="1:9" ht="15.75">
      <c r="A138" s="17">
        <v>20699</v>
      </c>
      <c r="B138" s="809" t="s">
        <v>159</v>
      </c>
      <c r="C138" s="808"/>
      <c r="D138" s="808"/>
      <c r="E138" s="808"/>
      <c r="F138" s="808"/>
      <c r="G138" s="829"/>
      <c r="H138" s="808"/>
      <c r="I138" s="808"/>
    </row>
    <row r="139" spans="1:9" ht="15.75">
      <c r="A139" s="13">
        <v>207</v>
      </c>
      <c r="B139" s="807" t="s">
        <v>1159</v>
      </c>
      <c r="C139" s="808"/>
      <c r="D139" s="808"/>
      <c r="E139" s="808"/>
      <c r="F139" s="808"/>
      <c r="G139" s="829"/>
      <c r="H139" s="808"/>
      <c r="I139" s="808"/>
    </row>
    <row r="140" spans="1:9" ht="15.75">
      <c r="A140" s="17">
        <v>20799</v>
      </c>
      <c r="B140" s="809" t="s">
        <v>160</v>
      </c>
      <c r="C140" s="808"/>
      <c r="D140" s="808"/>
      <c r="E140" s="808"/>
      <c r="F140" s="808"/>
      <c r="G140" s="829"/>
      <c r="H140" s="808"/>
      <c r="I140" s="808"/>
    </row>
    <row r="141" spans="1:9" ht="15.75">
      <c r="A141" s="13">
        <v>208</v>
      </c>
      <c r="B141" s="807" t="s">
        <v>29</v>
      </c>
      <c r="C141" s="808"/>
      <c r="D141" s="808"/>
      <c r="E141" s="808"/>
      <c r="F141" s="808"/>
      <c r="G141" s="829"/>
      <c r="H141" s="808"/>
      <c r="I141" s="808"/>
    </row>
    <row r="142" spans="1:9" ht="15.75">
      <c r="A142" s="17">
        <v>20801</v>
      </c>
      <c r="B142" s="809" t="s">
        <v>1160</v>
      </c>
      <c r="C142" s="808"/>
      <c r="D142" s="808"/>
      <c r="E142" s="808"/>
      <c r="F142" s="808"/>
      <c r="G142" s="829"/>
      <c r="H142" s="808"/>
      <c r="I142" s="808"/>
    </row>
    <row r="143" spans="1:9" ht="15.75">
      <c r="A143" s="17">
        <v>20802</v>
      </c>
      <c r="B143" s="809" t="s">
        <v>1161</v>
      </c>
      <c r="C143" s="808"/>
      <c r="D143" s="808"/>
      <c r="E143" s="808"/>
      <c r="F143" s="808"/>
      <c r="G143" s="829"/>
      <c r="H143" s="808"/>
      <c r="I143" s="808"/>
    </row>
    <row r="144" spans="1:9" ht="15.75">
      <c r="A144" s="17">
        <v>20803</v>
      </c>
      <c r="B144" s="809" t="s">
        <v>160</v>
      </c>
      <c r="C144" s="808"/>
      <c r="D144" s="808"/>
      <c r="E144" s="808"/>
      <c r="F144" s="808"/>
      <c r="G144" s="829"/>
      <c r="H144" s="808"/>
      <c r="I144" s="808"/>
    </row>
    <row r="145" spans="1:9" ht="15.75">
      <c r="A145" s="17">
        <v>20890</v>
      </c>
      <c r="B145" s="809" t="s">
        <v>1162</v>
      </c>
      <c r="C145" s="808"/>
      <c r="D145" s="808"/>
      <c r="E145" s="808"/>
      <c r="F145" s="808"/>
      <c r="G145" s="829"/>
      <c r="H145" s="808"/>
      <c r="I145" s="808"/>
    </row>
    <row r="146" spans="1:9" ht="15.75">
      <c r="A146" s="17">
        <v>20891</v>
      </c>
      <c r="B146" s="809" t="s">
        <v>1163</v>
      </c>
      <c r="C146" s="808"/>
      <c r="D146" s="808"/>
      <c r="E146" s="808"/>
      <c r="F146" s="808"/>
      <c r="G146" s="829"/>
      <c r="H146" s="808"/>
      <c r="I146" s="808"/>
    </row>
    <row r="147" spans="1:9" ht="15.75">
      <c r="A147" s="17">
        <v>20892</v>
      </c>
      <c r="B147" s="810" t="s">
        <v>1164</v>
      </c>
      <c r="C147" s="811"/>
      <c r="D147" s="812"/>
      <c r="E147" s="808"/>
      <c r="F147" s="808"/>
      <c r="G147" s="829"/>
      <c r="H147" s="808"/>
      <c r="I147" s="808"/>
    </row>
    <row r="148" spans="1:9" ht="15.75">
      <c r="A148" s="17">
        <v>20893</v>
      </c>
      <c r="B148" s="809" t="s">
        <v>161</v>
      </c>
      <c r="C148" s="808"/>
      <c r="D148" s="808"/>
      <c r="E148" s="808"/>
      <c r="F148" s="808"/>
      <c r="G148" s="829"/>
      <c r="H148" s="808"/>
      <c r="I148" s="808"/>
    </row>
    <row r="149" spans="1:9" ht="15.75">
      <c r="A149" s="17">
        <v>20894</v>
      </c>
      <c r="B149" s="809" t="s">
        <v>1165</v>
      </c>
      <c r="C149" s="808"/>
      <c r="D149" s="808"/>
      <c r="E149" s="808"/>
      <c r="F149" s="808"/>
      <c r="G149" s="829"/>
      <c r="H149" s="808"/>
      <c r="I149" s="808"/>
    </row>
    <row r="150" spans="1:9" ht="15.75">
      <c r="A150" s="17">
        <v>20899</v>
      </c>
      <c r="B150" s="809" t="s">
        <v>162</v>
      </c>
      <c r="C150" s="808"/>
      <c r="D150" s="808"/>
      <c r="E150" s="808"/>
      <c r="F150" s="808"/>
      <c r="G150" s="829"/>
      <c r="H150" s="808"/>
      <c r="I150" s="808"/>
    </row>
    <row r="151" spans="1:9" ht="15.75">
      <c r="A151" s="8">
        <v>3</v>
      </c>
      <c r="B151" s="805" t="s">
        <v>163</v>
      </c>
      <c r="C151" s="806"/>
      <c r="D151" s="806"/>
      <c r="E151" s="806"/>
      <c r="F151" s="806"/>
      <c r="G151" s="838">
        <f>G152+G166+G175+G187</f>
        <v>33290020</v>
      </c>
      <c r="H151" s="806"/>
      <c r="I151" s="806"/>
    </row>
    <row r="152" spans="1:9" ht="15.75">
      <c r="A152" s="13">
        <v>301</v>
      </c>
      <c r="B152" s="807" t="s">
        <v>164</v>
      </c>
      <c r="C152" s="808"/>
      <c r="D152" s="808"/>
      <c r="E152" s="808"/>
      <c r="F152" s="808"/>
      <c r="G152" s="830">
        <f>G154</f>
        <v>6355000</v>
      </c>
      <c r="H152" s="808"/>
      <c r="I152" s="808"/>
    </row>
    <row r="153" spans="1:9" ht="15.75">
      <c r="A153" s="17">
        <v>30101</v>
      </c>
      <c r="B153" s="809" t="s">
        <v>165</v>
      </c>
      <c r="C153" s="808"/>
      <c r="D153" s="808"/>
      <c r="E153" s="808"/>
      <c r="F153" s="808"/>
      <c r="G153" s="829"/>
      <c r="H153" s="808"/>
      <c r="I153" s="808"/>
    </row>
    <row r="154" spans="1:9" ht="15.75">
      <c r="A154" s="17">
        <v>30102</v>
      </c>
      <c r="B154" s="809" t="s">
        <v>166</v>
      </c>
      <c r="C154" s="808"/>
      <c r="D154" s="808"/>
      <c r="E154" s="808"/>
      <c r="F154" s="808"/>
      <c r="G154" s="829">
        <v>6355000</v>
      </c>
      <c r="H154" s="808"/>
      <c r="I154" s="808" t="s">
        <v>46</v>
      </c>
    </row>
    <row r="155" spans="1:9" ht="15.75">
      <c r="A155" s="17">
        <v>30103</v>
      </c>
      <c r="B155" s="809" t="s">
        <v>167</v>
      </c>
      <c r="C155" s="808"/>
      <c r="D155" s="808"/>
      <c r="E155" s="808"/>
      <c r="F155" s="808"/>
      <c r="G155" s="829"/>
      <c r="H155" s="808"/>
      <c r="I155" s="808"/>
    </row>
    <row r="156" spans="1:9" ht="15.75">
      <c r="A156" s="17">
        <v>30104</v>
      </c>
      <c r="B156" s="809" t="s">
        <v>168</v>
      </c>
      <c r="C156" s="808"/>
      <c r="D156" s="808"/>
      <c r="E156" s="808"/>
      <c r="F156" s="808"/>
      <c r="G156" s="829"/>
      <c r="H156" s="808"/>
      <c r="I156" s="808"/>
    </row>
    <row r="157" spans="1:9" ht="15.75">
      <c r="A157" s="17">
        <v>30107</v>
      </c>
      <c r="B157" s="809" t="s">
        <v>1166</v>
      </c>
      <c r="C157" s="808"/>
      <c r="D157" s="808"/>
      <c r="E157" s="808"/>
      <c r="F157" s="808"/>
      <c r="G157" s="829"/>
      <c r="H157" s="808"/>
      <c r="I157" s="808"/>
    </row>
    <row r="158" spans="1:9" ht="15.75">
      <c r="A158" s="17">
        <v>30191</v>
      </c>
      <c r="B158" s="809" t="s">
        <v>169</v>
      </c>
      <c r="C158" s="808"/>
      <c r="D158" s="808"/>
      <c r="E158" s="808"/>
      <c r="F158" s="808"/>
      <c r="G158" s="829"/>
      <c r="H158" s="808"/>
      <c r="I158" s="808"/>
    </row>
    <row r="159" spans="1:9" ht="15.75">
      <c r="A159" s="17">
        <v>30192</v>
      </c>
      <c r="B159" s="809" t="s">
        <v>170</v>
      </c>
      <c r="C159" s="808"/>
      <c r="D159" s="808"/>
      <c r="E159" s="808"/>
      <c r="F159" s="808"/>
      <c r="G159" s="829"/>
      <c r="H159" s="808"/>
      <c r="I159" s="808"/>
    </row>
    <row r="160" spans="1:9" ht="15.75">
      <c r="A160" s="17">
        <v>30193</v>
      </c>
      <c r="B160" s="809" t="s">
        <v>171</v>
      </c>
      <c r="C160" s="808"/>
      <c r="D160" s="808"/>
      <c r="E160" s="808"/>
      <c r="F160" s="808"/>
      <c r="G160" s="829"/>
      <c r="H160" s="808"/>
      <c r="I160" s="808"/>
    </row>
    <row r="161" spans="1:9" ht="15.75">
      <c r="A161" s="17">
        <v>30194</v>
      </c>
      <c r="B161" s="809" t="s">
        <v>172</v>
      </c>
      <c r="C161" s="808"/>
      <c r="D161" s="808"/>
      <c r="E161" s="808"/>
      <c r="F161" s="808"/>
      <c r="G161" s="829"/>
      <c r="H161" s="808"/>
      <c r="I161" s="808"/>
    </row>
    <row r="162" spans="1:9" ht="15.75">
      <c r="A162" s="17">
        <v>30195</v>
      </c>
      <c r="B162" s="809" t="s">
        <v>173</v>
      </c>
      <c r="C162" s="808"/>
      <c r="D162" s="808"/>
      <c r="E162" s="808"/>
      <c r="F162" s="808"/>
      <c r="G162" s="829"/>
      <c r="H162" s="808"/>
      <c r="I162" s="808"/>
    </row>
    <row r="163" spans="1:9" ht="15.75">
      <c r="A163" s="17">
        <v>30196</v>
      </c>
      <c r="B163" s="809" t="s">
        <v>1167</v>
      </c>
      <c r="C163" s="808"/>
      <c r="D163" s="808"/>
      <c r="E163" s="808"/>
      <c r="F163" s="808"/>
      <c r="G163" s="829"/>
      <c r="H163" s="808"/>
      <c r="I163" s="808"/>
    </row>
    <row r="164" spans="1:9" ht="15.75">
      <c r="A164" s="17">
        <v>30197</v>
      </c>
      <c r="B164" s="809" t="s">
        <v>174</v>
      </c>
      <c r="C164" s="808"/>
      <c r="D164" s="808"/>
      <c r="E164" s="808"/>
      <c r="F164" s="808"/>
      <c r="G164" s="829"/>
      <c r="H164" s="808"/>
      <c r="I164" s="808"/>
    </row>
    <row r="165" spans="1:9" ht="15.75">
      <c r="A165" s="17">
        <v>30199</v>
      </c>
      <c r="B165" s="810" t="s">
        <v>175</v>
      </c>
      <c r="C165" s="811"/>
      <c r="D165" s="812"/>
      <c r="E165" s="808"/>
      <c r="F165" s="808"/>
      <c r="G165" s="829"/>
      <c r="H165" s="808"/>
      <c r="I165" s="808"/>
    </row>
    <row r="166" spans="1:9" ht="15.75">
      <c r="A166" s="13">
        <v>302</v>
      </c>
      <c r="B166" s="807" t="s">
        <v>176</v>
      </c>
      <c r="C166" s="808"/>
      <c r="D166" s="808"/>
      <c r="E166" s="808"/>
      <c r="F166" s="808"/>
      <c r="G166" s="830">
        <f>G170</f>
        <v>5400000</v>
      </c>
      <c r="H166" s="808"/>
      <c r="I166" s="808"/>
    </row>
    <row r="167" spans="1:9" ht="15.75">
      <c r="A167" s="17">
        <v>30201</v>
      </c>
      <c r="B167" s="809" t="s">
        <v>177</v>
      </c>
      <c r="C167" s="808"/>
      <c r="D167" s="808"/>
      <c r="E167" s="808"/>
      <c r="F167" s="808"/>
      <c r="G167" s="829"/>
      <c r="H167" s="808"/>
      <c r="I167" s="808"/>
    </row>
    <row r="168" spans="1:9" ht="15.75">
      <c r="A168" s="17">
        <v>30202</v>
      </c>
      <c r="B168" s="809" t="s">
        <v>1168</v>
      </c>
      <c r="C168" s="808"/>
      <c r="D168" s="808"/>
      <c r="E168" s="808"/>
      <c r="F168" s="808"/>
      <c r="G168" s="829"/>
      <c r="H168" s="808"/>
      <c r="I168" s="808"/>
    </row>
    <row r="169" spans="1:9" ht="15.75">
      <c r="A169" s="17">
        <v>30203</v>
      </c>
      <c r="B169" s="810" t="s">
        <v>178</v>
      </c>
      <c r="C169" s="811"/>
      <c r="D169" s="812"/>
      <c r="E169" s="808"/>
      <c r="F169" s="808"/>
      <c r="G169" s="829"/>
      <c r="H169" s="808"/>
      <c r="I169" s="808"/>
    </row>
    <row r="170" spans="1:9" ht="15.75">
      <c r="A170" s="17">
        <v>30290</v>
      </c>
      <c r="B170" s="809" t="s">
        <v>59</v>
      </c>
      <c r="C170" s="808"/>
      <c r="D170" s="808"/>
      <c r="E170" s="808"/>
      <c r="F170" s="808"/>
      <c r="G170" s="829">
        <v>5400000</v>
      </c>
      <c r="H170" s="808"/>
      <c r="I170" s="808" t="s">
        <v>1186</v>
      </c>
    </row>
    <row r="171" spans="1:9" ht="15.75">
      <c r="A171" s="17">
        <v>30291</v>
      </c>
      <c r="B171" s="809" t="s">
        <v>58</v>
      </c>
      <c r="C171" s="808"/>
      <c r="D171" s="808"/>
      <c r="E171" s="808"/>
      <c r="F171" s="808"/>
      <c r="G171" s="829"/>
      <c r="H171" s="808"/>
      <c r="I171" s="808"/>
    </row>
    <row r="172" spans="1:9" ht="15.75">
      <c r="A172" s="17">
        <v>30292</v>
      </c>
      <c r="B172" s="809" t="s">
        <v>179</v>
      </c>
      <c r="C172" s="808"/>
      <c r="D172" s="808"/>
      <c r="E172" s="808"/>
      <c r="F172" s="808"/>
      <c r="G172" s="829"/>
      <c r="H172" s="808"/>
      <c r="I172" s="808"/>
    </row>
    <row r="173" spans="1:9" ht="15.75">
      <c r="A173" s="17">
        <v>30293</v>
      </c>
      <c r="B173" s="809" t="s">
        <v>180</v>
      </c>
      <c r="C173" s="808"/>
      <c r="D173" s="808"/>
      <c r="E173" s="808"/>
      <c r="F173" s="808"/>
      <c r="G173" s="829"/>
      <c r="H173" s="808"/>
      <c r="I173" s="808"/>
    </row>
    <row r="174" spans="1:9" ht="15.75">
      <c r="A174" s="17">
        <v>30294</v>
      </c>
      <c r="B174" s="809" t="s">
        <v>181</v>
      </c>
      <c r="C174" s="808"/>
      <c r="D174" s="808"/>
      <c r="E174" s="808"/>
      <c r="F174" s="808"/>
      <c r="G174" s="829"/>
      <c r="H174" s="808"/>
      <c r="I174" s="808"/>
    </row>
    <row r="175" spans="1:9" ht="15.75">
      <c r="A175" s="13">
        <v>303</v>
      </c>
      <c r="B175" s="807" t="s">
        <v>182</v>
      </c>
      <c r="C175" s="808"/>
      <c r="D175" s="808"/>
      <c r="E175" s="808"/>
      <c r="F175" s="808"/>
      <c r="G175" s="830">
        <f>G185</f>
        <v>6000000</v>
      </c>
      <c r="H175" s="808"/>
      <c r="I175" s="808"/>
    </row>
    <row r="176" spans="1:9" ht="15.75">
      <c r="A176" s="17">
        <v>30301</v>
      </c>
      <c r="B176" s="809" t="s">
        <v>183</v>
      </c>
      <c r="C176" s="808"/>
      <c r="D176" s="808"/>
      <c r="E176" s="808"/>
      <c r="F176" s="808"/>
      <c r="G176" s="829"/>
      <c r="H176" s="808"/>
      <c r="I176" s="808"/>
    </row>
    <row r="177" spans="1:9" ht="15.75">
      <c r="A177" s="17">
        <v>30302</v>
      </c>
      <c r="B177" s="809" t="s">
        <v>184</v>
      </c>
      <c r="C177" s="808"/>
      <c r="D177" s="808"/>
      <c r="E177" s="808"/>
      <c r="F177" s="808"/>
      <c r="G177" s="829"/>
      <c r="H177" s="808"/>
      <c r="I177" s="808"/>
    </row>
    <row r="178" spans="1:9" ht="15.75">
      <c r="A178" s="17">
        <v>30303</v>
      </c>
      <c r="B178" s="809" t="s">
        <v>185</v>
      </c>
      <c r="C178" s="808"/>
      <c r="D178" s="808"/>
      <c r="E178" s="808"/>
      <c r="F178" s="808"/>
      <c r="G178" s="829"/>
      <c r="H178" s="808"/>
      <c r="I178" s="808"/>
    </row>
    <row r="179" spans="1:9" ht="15.75">
      <c r="A179" s="17">
        <v>30304</v>
      </c>
      <c r="B179" s="809" t="s">
        <v>186</v>
      </c>
      <c r="C179" s="808"/>
      <c r="D179" s="808"/>
      <c r="E179" s="808"/>
      <c r="F179" s="808"/>
      <c r="G179" s="829"/>
      <c r="H179" s="808"/>
      <c r="I179" s="808"/>
    </row>
    <row r="180" spans="1:9" ht="15.75">
      <c r="A180" s="17">
        <v>30305</v>
      </c>
      <c r="B180" s="810" t="s">
        <v>187</v>
      </c>
      <c r="C180" s="811"/>
      <c r="D180" s="812"/>
      <c r="E180" s="808"/>
      <c r="F180" s="808"/>
      <c r="G180" s="829"/>
      <c r="H180" s="808"/>
      <c r="I180" s="808"/>
    </row>
    <row r="181" spans="1:9" ht="15.75">
      <c r="A181" s="17">
        <v>30306</v>
      </c>
      <c r="B181" s="809" t="s">
        <v>188</v>
      </c>
      <c r="C181" s="808"/>
      <c r="D181" s="808"/>
      <c r="E181" s="808"/>
      <c r="F181" s="808"/>
      <c r="G181" s="829"/>
      <c r="H181" s="808"/>
      <c r="I181" s="808"/>
    </row>
    <row r="182" spans="1:9" ht="15.75">
      <c r="A182" s="17">
        <v>30390</v>
      </c>
      <c r="B182" s="809" t="s">
        <v>189</v>
      </c>
      <c r="C182" s="808"/>
      <c r="D182" s="808"/>
      <c r="E182" s="808"/>
      <c r="F182" s="808"/>
      <c r="G182" s="829"/>
      <c r="H182" s="808"/>
      <c r="I182" s="808"/>
    </row>
    <row r="183" spans="1:9" ht="15.75">
      <c r="A183" s="17">
        <v>30391</v>
      </c>
      <c r="B183" s="809" t="s">
        <v>190</v>
      </c>
      <c r="C183" s="808"/>
      <c r="D183" s="808"/>
      <c r="E183" s="808"/>
      <c r="F183" s="808"/>
      <c r="G183" s="829"/>
      <c r="H183" s="808"/>
      <c r="I183" s="808"/>
    </row>
    <row r="184" spans="1:9" ht="15.75">
      <c r="A184" s="17">
        <v>30392</v>
      </c>
      <c r="B184" s="809" t="s">
        <v>1169</v>
      </c>
      <c r="C184" s="808"/>
      <c r="D184" s="808"/>
      <c r="E184" s="808"/>
      <c r="F184" s="808"/>
      <c r="G184" s="829"/>
      <c r="H184" s="808"/>
      <c r="I184" s="808"/>
    </row>
    <row r="185" spans="1:9" ht="15.75">
      <c r="A185" s="17">
        <v>30393</v>
      </c>
      <c r="B185" s="809" t="s">
        <v>191</v>
      </c>
      <c r="C185" s="808"/>
      <c r="D185" s="808"/>
      <c r="E185" s="808"/>
      <c r="F185" s="808"/>
      <c r="G185" s="829">
        <v>6000000</v>
      </c>
      <c r="H185" s="808"/>
      <c r="I185" s="808" t="s">
        <v>46</v>
      </c>
    </row>
    <row r="186" spans="1:9" ht="15.75">
      <c r="A186" s="17">
        <v>30399</v>
      </c>
      <c r="B186" s="809" t="s">
        <v>192</v>
      </c>
      <c r="C186" s="808"/>
      <c r="D186" s="816"/>
      <c r="E186" s="808"/>
      <c r="F186" s="808"/>
      <c r="G186" s="829"/>
      <c r="H186" s="808"/>
      <c r="I186" s="808"/>
    </row>
    <row r="187" spans="1:9" ht="15.75">
      <c r="A187" s="13">
        <v>304</v>
      </c>
      <c r="B187" s="807" t="s">
        <v>193</v>
      </c>
      <c r="C187" s="808"/>
      <c r="D187" s="808"/>
      <c r="E187" s="808"/>
      <c r="F187" s="808"/>
      <c r="G187" s="830">
        <f>SUM(G188:G198)</f>
        <v>15535020</v>
      </c>
      <c r="H187" s="808"/>
      <c r="I187" s="808"/>
    </row>
    <row r="188" spans="1:9" ht="15.75">
      <c r="A188" s="17">
        <v>30401</v>
      </c>
      <c r="B188" s="809" t="s">
        <v>1170</v>
      </c>
      <c r="C188" s="808"/>
      <c r="D188" s="808"/>
      <c r="E188" s="808"/>
      <c r="F188" s="808"/>
      <c r="G188" s="829"/>
      <c r="H188" s="808"/>
      <c r="I188" s="808"/>
    </row>
    <row r="189" spans="1:9" ht="15.75">
      <c r="A189" s="17">
        <v>30402</v>
      </c>
      <c r="B189" s="809" t="s">
        <v>1171</v>
      </c>
      <c r="C189" s="808"/>
      <c r="D189" s="808"/>
      <c r="E189" s="808"/>
      <c r="F189" s="808"/>
      <c r="G189" s="829"/>
      <c r="H189" s="808"/>
      <c r="I189" s="808"/>
    </row>
    <row r="190" spans="1:9" ht="15.75">
      <c r="A190" s="17">
        <v>30403</v>
      </c>
      <c r="B190" s="809" t="s">
        <v>32</v>
      </c>
      <c r="C190" s="808"/>
      <c r="D190" s="808"/>
      <c r="E190" s="808"/>
      <c r="F190" s="808"/>
      <c r="G190" s="829"/>
      <c r="H190" s="808"/>
      <c r="I190" s="808"/>
    </row>
    <row r="191" spans="1:9" ht="15.75">
      <c r="A191" s="17">
        <v>30404</v>
      </c>
      <c r="B191" s="809" t="s">
        <v>1172</v>
      </c>
      <c r="C191" s="808"/>
      <c r="D191" s="808"/>
      <c r="E191" s="808"/>
      <c r="F191" s="808"/>
      <c r="G191" s="829"/>
      <c r="H191" s="808"/>
      <c r="I191" s="808"/>
    </row>
    <row r="192" spans="1:9" ht="15.75">
      <c r="A192" s="17">
        <v>30490</v>
      </c>
      <c r="B192" s="809" t="s">
        <v>1173</v>
      </c>
      <c r="C192" s="808"/>
      <c r="D192" s="808"/>
      <c r="E192" s="808"/>
      <c r="F192" s="808"/>
      <c r="G192" s="829"/>
      <c r="H192" s="808"/>
      <c r="I192" s="808"/>
    </row>
    <row r="193" spans="1:9" ht="15.75">
      <c r="A193" s="17">
        <v>30491</v>
      </c>
      <c r="B193" s="809" t="s">
        <v>1174</v>
      </c>
      <c r="C193" s="808"/>
      <c r="D193" s="808"/>
      <c r="E193" s="808"/>
      <c r="F193" s="808"/>
      <c r="G193" s="829"/>
      <c r="H193" s="808"/>
      <c r="I193" s="808"/>
    </row>
    <row r="194" spans="1:9" ht="15.75">
      <c r="A194" s="17">
        <v>30492</v>
      </c>
      <c r="B194" s="809" t="s">
        <v>194</v>
      </c>
      <c r="C194" s="808"/>
      <c r="D194" s="808"/>
      <c r="E194" s="808"/>
      <c r="F194" s="808"/>
      <c r="G194" s="829">
        <v>2633820</v>
      </c>
      <c r="H194" s="808"/>
      <c r="I194" s="808" t="s">
        <v>21</v>
      </c>
    </row>
    <row r="195" spans="1:9" ht="15.75">
      <c r="A195" s="17">
        <v>30494</v>
      </c>
      <c r="B195" s="809" t="s">
        <v>195</v>
      </c>
      <c r="C195" s="808"/>
      <c r="D195" s="808"/>
      <c r="E195" s="808"/>
      <c r="F195" s="808"/>
      <c r="G195" s="829"/>
      <c r="H195" s="808"/>
      <c r="I195" s="808"/>
    </row>
    <row r="196" spans="1:9" ht="15.75">
      <c r="A196" s="17">
        <v>30495</v>
      </c>
      <c r="B196" s="809" t="s">
        <v>196</v>
      </c>
      <c r="C196" s="808"/>
      <c r="D196" s="808"/>
      <c r="E196" s="808"/>
      <c r="F196" s="808"/>
      <c r="G196" s="829">
        <v>5000000</v>
      </c>
      <c r="H196" s="808"/>
      <c r="I196" s="808" t="s">
        <v>46</v>
      </c>
    </row>
    <row r="197" spans="1:9" ht="15.75">
      <c r="A197" s="17">
        <v>30496</v>
      </c>
      <c r="B197" s="809" t="s">
        <v>43</v>
      </c>
      <c r="C197" s="808"/>
      <c r="D197" s="808"/>
      <c r="E197" s="808"/>
      <c r="F197" s="808"/>
      <c r="G197" s="829">
        <v>7901200</v>
      </c>
      <c r="H197" s="808"/>
      <c r="I197" s="808" t="s">
        <v>1186</v>
      </c>
    </row>
    <row r="198" spans="1:9" ht="15.75">
      <c r="A198" s="17">
        <v>30499</v>
      </c>
      <c r="B198" s="809" t="s">
        <v>197</v>
      </c>
      <c r="C198" s="808"/>
      <c r="D198" s="808"/>
      <c r="E198" s="808"/>
      <c r="F198" s="808"/>
      <c r="G198" s="829"/>
      <c r="H198" s="808"/>
      <c r="I198" s="808"/>
    </row>
    <row r="199" spans="1:9" ht="15.75">
      <c r="A199" s="8">
        <v>4</v>
      </c>
      <c r="B199" s="805" t="s">
        <v>198</v>
      </c>
      <c r="C199" s="806"/>
      <c r="D199" s="806"/>
      <c r="E199" s="806"/>
      <c r="F199" s="806"/>
      <c r="G199" s="838">
        <f>G204+G224+G226</f>
        <v>266198730</v>
      </c>
      <c r="H199" s="806"/>
      <c r="I199" s="806"/>
    </row>
    <row r="200" spans="1:9" ht="15.75">
      <c r="A200" s="13">
        <v>401</v>
      </c>
      <c r="B200" s="807" t="s">
        <v>1175</v>
      </c>
      <c r="C200" s="808"/>
      <c r="D200" s="808"/>
      <c r="E200" s="808"/>
      <c r="F200" s="808"/>
      <c r="G200" s="829"/>
      <c r="H200" s="808"/>
      <c r="I200" s="808"/>
    </row>
    <row r="201" spans="1:9" ht="15.75">
      <c r="A201" s="17">
        <v>40105</v>
      </c>
      <c r="B201" s="809" t="s">
        <v>199</v>
      </c>
      <c r="C201" s="808"/>
      <c r="D201" s="808"/>
      <c r="E201" s="808"/>
      <c r="F201" s="808"/>
      <c r="G201" s="829"/>
      <c r="H201" s="808"/>
      <c r="I201" s="808"/>
    </row>
    <row r="202" spans="1:9" ht="15.75">
      <c r="A202" s="17">
        <v>40106</v>
      </c>
      <c r="B202" s="809" t="s">
        <v>1176</v>
      </c>
      <c r="C202" s="808"/>
      <c r="D202" s="808"/>
      <c r="E202" s="808"/>
      <c r="F202" s="808"/>
      <c r="G202" s="829"/>
      <c r="H202" s="808"/>
      <c r="I202" s="808"/>
    </row>
    <row r="203" spans="1:9" ht="15.75">
      <c r="A203" s="17">
        <v>40190</v>
      </c>
      <c r="B203" s="809" t="s">
        <v>1177</v>
      </c>
      <c r="C203" s="808"/>
      <c r="D203" s="808"/>
      <c r="E203" s="808"/>
      <c r="F203" s="808"/>
      <c r="G203" s="829"/>
      <c r="H203" s="808"/>
      <c r="I203" s="808"/>
    </row>
    <row r="204" spans="1:9" ht="15.75">
      <c r="A204" s="13">
        <v>402</v>
      </c>
      <c r="B204" s="807" t="s">
        <v>200</v>
      </c>
      <c r="C204" s="808"/>
      <c r="D204" s="808"/>
      <c r="E204" s="808"/>
      <c r="F204" s="808"/>
      <c r="G204" s="830">
        <f>SUM(G205:G210)</f>
        <v>229980000</v>
      </c>
      <c r="H204" s="808"/>
      <c r="I204" s="808"/>
    </row>
    <row r="205" spans="1:9" ht="15.75">
      <c r="A205" s="17">
        <v>40201</v>
      </c>
      <c r="B205" s="809" t="s">
        <v>201</v>
      </c>
      <c r="C205" s="808"/>
      <c r="D205" s="808"/>
      <c r="E205" s="808"/>
      <c r="F205" s="808"/>
      <c r="G205" s="829">
        <v>68580000</v>
      </c>
      <c r="H205" s="808"/>
      <c r="I205" s="808" t="s">
        <v>21</v>
      </c>
    </row>
    <row r="206" spans="1:9" ht="15.75">
      <c r="A206" s="17">
        <v>40202</v>
      </c>
      <c r="B206" s="809" t="s">
        <v>1178</v>
      </c>
      <c r="C206" s="808"/>
      <c r="D206" s="808"/>
      <c r="E206" s="808"/>
      <c r="F206" s="808"/>
      <c r="G206" s="829"/>
      <c r="H206" s="808"/>
      <c r="I206" s="808"/>
    </row>
    <row r="207" spans="1:9" ht="15.75">
      <c r="A207" s="17">
        <v>40291</v>
      </c>
      <c r="B207" s="809" t="s">
        <v>202</v>
      </c>
      <c r="C207" s="808"/>
      <c r="D207" s="808"/>
      <c r="E207" s="808"/>
      <c r="F207" s="808"/>
      <c r="G207" s="829"/>
      <c r="H207" s="808"/>
      <c r="I207" s="808"/>
    </row>
    <row r="208" spans="1:9" ht="15.75">
      <c r="A208" s="17">
        <v>40292</v>
      </c>
      <c r="B208" s="809" t="s">
        <v>203</v>
      </c>
      <c r="C208" s="808"/>
      <c r="D208" s="808"/>
      <c r="E208" s="808"/>
      <c r="F208" s="808"/>
      <c r="G208" s="829"/>
      <c r="H208" s="808"/>
      <c r="I208" s="808"/>
    </row>
    <row r="209" spans="1:9" ht="15.75">
      <c r="A209" s="826">
        <v>40293</v>
      </c>
      <c r="B209" s="827" t="s">
        <v>204</v>
      </c>
      <c r="C209" s="828"/>
      <c r="D209" s="828"/>
      <c r="E209" s="828"/>
      <c r="F209" s="828"/>
      <c r="G209" s="837"/>
      <c r="H209" s="828"/>
      <c r="I209" s="828"/>
    </row>
    <row r="210" spans="1:9" ht="15.75">
      <c r="A210" s="17">
        <v>40299</v>
      </c>
      <c r="B210" s="809" t="s">
        <v>205</v>
      </c>
      <c r="C210" s="808"/>
      <c r="D210" s="808"/>
      <c r="E210" s="808"/>
      <c r="F210" s="808"/>
      <c r="G210" s="829">
        <v>161400000</v>
      </c>
      <c r="H210" s="808"/>
      <c r="I210" s="808" t="s">
        <v>21</v>
      </c>
    </row>
    <row r="211" spans="1:9" ht="15.75">
      <c r="A211" s="13">
        <v>403</v>
      </c>
      <c r="B211" s="807" t="s">
        <v>206</v>
      </c>
      <c r="C211" s="808"/>
      <c r="D211" s="808"/>
      <c r="E211" s="808"/>
      <c r="F211" s="808"/>
      <c r="G211" s="829"/>
      <c r="H211" s="808"/>
      <c r="I211" s="808"/>
    </row>
    <row r="212" spans="1:9" ht="15.75">
      <c r="A212" s="17">
        <v>40302</v>
      </c>
      <c r="B212" s="809" t="s">
        <v>207</v>
      </c>
      <c r="C212" s="808"/>
      <c r="D212" s="808"/>
      <c r="E212" s="808"/>
      <c r="F212" s="808"/>
      <c r="G212" s="829"/>
      <c r="H212" s="808"/>
      <c r="I212" s="808"/>
    </row>
    <row r="213" spans="1:9" ht="15.75">
      <c r="A213" s="17">
        <v>40303</v>
      </c>
      <c r="B213" s="809" t="s">
        <v>208</v>
      </c>
      <c r="C213" s="808"/>
      <c r="D213" s="808"/>
      <c r="E213" s="808"/>
      <c r="F213" s="808"/>
      <c r="G213" s="829"/>
      <c r="H213" s="808"/>
      <c r="I213" s="808"/>
    </row>
    <row r="214" spans="1:9" ht="15.75">
      <c r="A214" s="17">
        <v>40399</v>
      </c>
      <c r="B214" s="809" t="s">
        <v>209</v>
      </c>
      <c r="C214" s="808"/>
      <c r="D214" s="808"/>
      <c r="E214" s="808"/>
      <c r="F214" s="808"/>
      <c r="G214" s="829"/>
      <c r="H214" s="808"/>
      <c r="I214" s="808"/>
    </row>
    <row r="215" spans="1:9" ht="15.75">
      <c r="A215" s="13">
        <v>404</v>
      </c>
      <c r="B215" s="807" t="s">
        <v>210</v>
      </c>
      <c r="C215" s="808"/>
      <c r="D215" s="808"/>
      <c r="E215" s="808"/>
      <c r="F215" s="808"/>
      <c r="G215" s="829"/>
      <c r="H215" s="808"/>
      <c r="I215" s="808"/>
    </row>
    <row r="216" spans="1:9" ht="15.75">
      <c r="A216" s="17">
        <v>40401</v>
      </c>
      <c r="B216" s="809" t="s">
        <v>211</v>
      </c>
      <c r="C216" s="808"/>
      <c r="D216" s="808"/>
      <c r="E216" s="808"/>
      <c r="F216" s="808"/>
      <c r="G216" s="829"/>
      <c r="H216" s="808"/>
      <c r="I216" s="808"/>
    </row>
    <row r="217" spans="1:9" ht="15.75">
      <c r="A217" s="17">
        <v>40402</v>
      </c>
      <c r="B217" s="809" t="s">
        <v>212</v>
      </c>
      <c r="C217" s="808"/>
      <c r="D217" s="808"/>
      <c r="E217" s="808"/>
      <c r="F217" s="808"/>
      <c r="G217" s="829"/>
      <c r="H217" s="808"/>
      <c r="I217" s="808"/>
    </row>
    <row r="218" spans="1:9" ht="15.75">
      <c r="A218" s="17">
        <v>40491</v>
      </c>
      <c r="B218" s="809" t="s">
        <v>213</v>
      </c>
      <c r="C218" s="808"/>
      <c r="D218" s="808"/>
      <c r="E218" s="808"/>
      <c r="F218" s="808"/>
      <c r="G218" s="829"/>
      <c r="H218" s="808"/>
      <c r="I218" s="808"/>
    </row>
    <row r="219" spans="1:9" ht="15.75">
      <c r="A219" s="17">
        <v>40492</v>
      </c>
      <c r="B219" s="809" t="s">
        <v>214</v>
      </c>
      <c r="C219" s="808"/>
      <c r="D219" s="808"/>
      <c r="E219" s="808"/>
      <c r="F219" s="808"/>
      <c r="G219" s="829"/>
      <c r="H219" s="808"/>
      <c r="I219" s="808"/>
    </row>
    <row r="220" spans="1:9" ht="15.75">
      <c r="A220" s="17">
        <v>40494</v>
      </c>
      <c r="B220" s="809" t="s">
        <v>215</v>
      </c>
      <c r="C220" s="808"/>
      <c r="D220" s="808"/>
      <c r="E220" s="808"/>
      <c r="F220" s="808"/>
      <c r="G220" s="829"/>
      <c r="H220" s="808"/>
      <c r="I220" s="808"/>
    </row>
    <row r="221" spans="1:9" ht="15.75">
      <c r="A221" s="17">
        <v>40495</v>
      </c>
      <c r="B221" s="809" t="s">
        <v>1179</v>
      </c>
      <c r="C221" s="808"/>
      <c r="D221" s="808"/>
      <c r="E221" s="808"/>
      <c r="F221" s="808"/>
      <c r="G221" s="829"/>
      <c r="H221" s="808"/>
      <c r="I221" s="808"/>
    </row>
    <row r="222" spans="1:9" ht="15.75">
      <c r="A222" s="17">
        <v>40496</v>
      </c>
      <c r="B222" s="809" t="s">
        <v>216</v>
      </c>
      <c r="C222" s="808"/>
      <c r="D222" s="808"/>
      <c r="E222" s="808"/>
      <c r="F222" s="808"/>
      <c r="G222" s="829"/>
      <c r="H222" s="808"/>
      <c r="I222" s="808"/>
    </row>
    <row r="223" spans="1:9" ht="15.75">
      <c r="A223" s="13">
        <v>405</v>
      </c>
      <c r="B223" s="807" t="s">
        <v>1180</v>
      </c>
      <c r="C223" s="808"/>
      <c r="D223" s="808"/>
      <c r="E223" s="808"/>
      <c r="F223" s="808"/>
      <c r="G223" s="829"/>
      <c r="H223" s="808"/>
      <c r="I223" s="808"/>
    </row>
    <row r="224" spans="1:9" ht="15.75">
      <c r="A224" s="13">
        <v>406</v>
      </c>
      <c r="B224" s="807" t="s">
        <v>217</v>
      </c>
      <c r="C224" s="808"/>
      <c r="D224" s="808"/>
      <c r="E224" s="808"/>
      <c r="F224" s="808"/>
      <c r="G224" s="830">
        <f>G225</f>
        <v>5600000</v>
      </c>
      <c r="H224" s="808"/>
      <c r="I224" s="808"/>
    </row>
    <row r="225" spans="1:9" ht="15.75">
      <c r="A225" s="17">
        <v>40602</v>
      </c>
      <c r="B225" s="809" t="s">
        <v>1190</v>
      </c>
      <c r="C225" s="808"/>
      <c r="D225" s="808"/>
      <c r="E225" s="808"/>
      <c r="F225" s="808"/>
      <c r="G225" s="829">
        <v>5600000</v>
      </c>
      <c r="H225" s="808"/>
      <c r="I225" s="808" t="s">
        <v>21</v>
      </c>
    </row>
    <row r="226" spans="1:9" ht="15.75">
      <c r="A226" s="17">
        <v>407</v>
      </c>
      <c r="B226" s="807" t="s">
        <v>1191</v>
      </c>
      <c r="C226" s="808"/>
      <c r="D226" s="808"/>
      <c r="E226" s="808"/>
      <c r="F226" s="808"/>
      <c r="G226" s="830">
        <f>SUM(G227:G228)</f>
        <v>30618730</v>
      </c>
      <c r="H226" s="808"/>
      <c r="I226" s="808"/>
    </row>
    <row r="227" spans="1:9" ht="15.75">
      <c r="A227" s="17">
        <v>40703</v>
      </c>
      <c r="B227" s="809" t="s">
        <v>1192</v>
      </c>
      <c r="C227" s="808"/>
      <c r="D227" s="808"/>
      <c r="E227" s="808"/>
      <c r="F227" s="808"/>
      <c r="G227" s="829">
        <v>23423730</v>
      </c>
      <c r="H227" s="808"/>
      <c r="I227" s="808" t="s">
        <v>21</v>
      </c>
    </row>
    <row r="228" spans="1:9" ht="15.75">
      <c r="A228" s="17">
        <v>40704</v>
      </c>
      <c r="B228" s="809" t="s">
        <v>218</v>
      </c>
      <c r="C228" s="808"/>
      <c r="D228" s="808"/>
      <c r="E228" s="808"/>
      <c r="F228" s="808"/>
      <c r="G228" s="829">
        <v>7195000</v>
      </c>
      <c r="H228" s="808"/>
      <c r="I228" s="808" t="s">
        <v>21</v>
      </c>
    </row>
    <row r="229" spans="1:9" ht="15.75">
      <c r="A229" s="8">
        <v>5</v>
      </c>
      <c r="B229" s="805" t="s">
        <v>219</v>
      </c>
      <c r="C229" s="806"/>
      <c r="D229" s="806"/>
      <c r="E229" s="806"/>
      <c r="F229" s="806"/>
      <c r="G229" s="838">
        <f>G230+G234</f>
        <v>164036670</v>
      </c>
      <c r="H229" s="806"/>
      <c r="I229" s="806"/>
    </row>
    <row r="230" spans="1:9" ht="15.75">
      <c r="A230" s="13">
        <v>501</v>
      </c>
      <c r="B230" s="807" t="s">
        <v>220</v>
      </c>
      <c r="C230" s="808"/>
      <c r="D230" s="808"/>
      <c r="E230" s="808"/>
      <c r="F230" s="808"/>
      <c r="G230" s="830">
        <f>G231</f>
        <v>34436670</v>
      </c>
      <c r="H230" s="808"/>
      <c r="I230" s="808"/>
    </row>
    <row r="231" spans="1:9" ht="15.75">
      <c r="A231" s="17">
        <v>50101</v>
      </c>
      <c r="B231" s="809" t="s">
        <v>221</v>
      </c>
      <c r="C231" s="808"/>
      <c r="D231" s="808"/>
      <c r="E231" s="808"/>
      <c r="F231" s="808"/>
      <c r="G231" s="829">
        <v>34436670</v>
      </c>
      <c r="H231" s="808"/>
      <c r="I231" s="808" t="s">
        <v>21</v>
      </c>
    </row>
    <row r="232" spans="1:9" ht="15.75">
      <c r="A232" s="13">
        <v>502</v>
      </c>
      <c r="B232" s="807" t="s">
        <v>222</v>
      </c>
      <c r="C232" s="808"/>
      <c r="D232" s="808"/>
      <c r="E232" s="808"/>
      <c r="F232" s="808"/>
      <c r="G232" s="829"/>
      <c r="H232" s="808"/>
      <c r="I232" s="808"/>
    </row>
    <row r="233" spans="1:9" ht="15.75">
      <c r="A233" s="17">
        <v>50201</v>
      </c>
      <c r="B233" s="809" t="s">
        <v>223</v>
      </c>
      <c r="C233" s="808"/>
      <c r="D233" s="808"/>
      <c r="E233" s="808"/>
      <c r="F233" s="808"/>
      <c r="G233" s="829"/>
      <c r="H233" s="808"/>
      <c r="I233" s="808"/>
    </row>
    <row r="234" spans="1:9" ht="15.75">
      <c r="A234" s="13">
        <v>503</v>
      </c>
      <c r="B234" s="807" t="s">
        <v>224</v>
      </c>
      <c r="C234" s="808"/>
      <c r="D234" s="808"/>
      <c r="E234" s="808"/>
      <c r="F234" s="808"/>
      <c r="G234" s="830">
        <f>G235</f>
        <v>129600000</v>
      </c>
      <c r="H234" s="808"/>
      <c r="I234" s="808"/>
    </row>
    <row r="235" spans="1:9" ht="15.75">
      <c r="A235" s="17">
        <v>50301</v>
      </c>
      <c r="B235" s="809" t="s">
        <v>225</v>
      </c>
      <c r="C235" s="808"/>
      <c r="D235" s="808"/>
      <c r="E235" s="808"/>
      <c r="F235" s="808"/>
      <c r="G235" s="829">
        <v>129600000</v>
      </c>
      <c r="H235" s="808"/>
      <c r="I235" s="808" t="s">
        <v>21</v>
      </c>
    </row>
    <row r="236" spans="1:9" ht="15.75">
      <c r="A236" s="25"/>
      <c r="B236" s="802"/>
      <c r="C236" s="802"/>
      <c r="D236" s="802"/>
      <c r="E236" s="802"/>
      <c r="F236" s="802"/>
      <c r="G236" s="26"/>
      <c r="H236" s="802"/>
      <c r="I236" s="802"/>
    </row>
    <row r="237" spans="1:9" ht="15.75">
      <c r="A237" s="25"/>
      <c r="B237" s="802"/>
      <c r="C237" s="802"/>
      <c r="D237" s="802"/>
      <c r="E237" s="802"/>
      <c r="F237" s="802" t="s">
        <v>1193</v>
      </c>
      <c r="G237" s="26"/>
      <c r="H237" s="802"/>
      <c r="I237" s="802"/>
    </row>
    <row r="238" spans="1:9" ht="15.75">
      <c r="A238" s="25"/>
      <c r="B238" s="802"/>
      <c r="C238" s="802"/>
      <c r="D238" s="802"/>
      <c r="E238" s="802"/>
      <c r="F238" s="802" t="s">
        <v>1181</v>
      </c>
      <c r="G238" s="26"/>
      <c r="H238" s="802"/>
      <c r="I238" s="802"/>
    </row>
    <row r="239" spans="1:9" ht="15.75">
      <c r="A239" s="25"/>
      <c r="B239" s="802"/>
      <c r="C239" s="802"/>
      <c r="D239" s="802"/>
      <c r="E239" s="802"/>
      <c r="F239" s="802"/>
      <c r="G239" s="26"/>
      <c r="H239" s="802"/>
      <c r="I239" s="802"/>
    </row>
    <row r="240" spans="1:9" ht="15.75">
      <c r="A240" s="25"/>
      <c r="B240" s="802"/>
      <c r="C240" s="802"/>
      <c r="D240" s="802"/>
      <c r="E240" s="802"/>
      <c r="F240" s="802"/>
      <c r="G240" s="26"/>
      <c r="H240" s="802"/>
      <c r="I240" s="802"/>
    </row>
    <row r="241" spans="1:9" ht="15.75">
      <c r="A241" s="25"/>
      <c r="B241" s="802"/>
      <c r="C241" s="802"/>
      <c r="D241" s="802"/>
      <c r="E241" s="802"/>
      <c r="F241" s="802"/>
      <c r="G241" s="26"/>
      <c r="H241" s="802"/>
      <c r="I241" s="802"/>
    </row>
    <row r="242" spans="1:9" ht="15.75">
      <c r="A242" s="25"/>
      <c r="B242" s="802"/>
      <c r="C242" s="802"/>
      <c r="D242" s="802"/>
      <c r="E242" s="802"/>
      <c r="F242" s="802"/>
      <c r="G242" s="26"/>
      <c r="H242" s="802"/>
      <c r="I242" s="802"/>
    </row>
    <row r="243" spans="1:9" ht="15.75">
      <c r="A243" s="25"/>
      <c r="B243" s="802"/>
      <c r="C243" s="802"/>
      <c r="D243" s="802"/>
      <c r="E243" s="802"/>
      <c r="F243" s="802" t="s">
        <v>1132</v>
      </c>
      <c r="G243" s="26"/>
      <c r="H243" s="802"/>
      <c r="I243" s="802"/>
    </row>
  </sheetData>
  <mergeCells count="26">
    <mergeCell ref="B169:D169"/>
    <mergeCell ref="B180:D180"/>
    <mergeCell ref="B92:D92"/>
    <mergeCell ref="B109:D109"/>
    <mergeCell ref="B117:D117"/>
    <mergeCell ref="B121:D121"/>
    <mergeCell ref="B147:D147"/>
    <mergeCell ref="B165:D165"/>
    <mergeCell ref="B69:D69"/>
    <mergeCell ref="B72:D72"/>
    <mergeCell ref="B73:D73"/>
    <mergeCell ref="B74:D74"/>
    <mergeCell ref="B75:D75"/>
    <mergeCell ref="B88:D88"/>
    <mergeCell ref="B6:D6"/>
    <mergeCell ref="E6:F6"/>
    <mergeCell ref="B14:D14"/>
    <mergeCell ref="B28:D28"/>
    <mergeCell ref="B35:D35"/>
    <mergeCell ref="B55:D55"/>
    <mergeCell ref="A1:I1"/>
    <mergeCell ref="A2:I2"/>
    <mergeCell ref="A3:C3"/>
    <mergeCell ref="G3:I3"/>
    <mergeCell ref="A4:C4"/>
    <mergeCell ref="G4:I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73" zoomScale="80" zoomScaleNormal="70" zoomScaleSheetLayoutView="80" workbookViewId="0">
      <selection activeCell="E80" sqref="E80"/>
    </sheetView>
  </sheetViews>
  <sheetFormatPr defaultRowHeight="15.75"/>
  <cols>
    <col min="1" max="4" width="5.140625" style="317" customWidth="1"/>
    <col min="5" max="5" width="82.140625" style="317" customWidth="1"/>
    <col min="6" max="6" width="20.28515625" style="342" customWidth="1"/>
    <col min="7" max="7" width="20.28515625" style="317" customWidth="1"/>
    <col min="8" max="8" width="24.140625" style="317" customWidth="1"/>
    <col min="9" max="9" width="26.42578125" style="342" customWidth="1"/>
    <col min="10" max="256" width="9.140625" style="317"/>
    <col min="257" max="260" width="5.140625" style="317" customWidth="1"/>
    <col min="261" max="261" width="82.140625" style="317" customWidth="1"/>
    <col min="262" max="263" width="20.28515625" style="317" customWidth="1"/>
    <col min="264" max="264" width="24.140625" style="317" customWidth="1"/>
    <col min="265" max="265" width="26.42578125" style="317" customWidth="1"/>
    <col min="266" max="512" width="9.140625" style="317"/>
    <col min="513" max="516" width="5.140625" style="317" customWidth="1"/>
    <col min="517" max="517" width="82.140625" style="317" customWidth="1"/>
    <col min="518" max="519" width="20.28515625" style="317" customWidth="1"/>
    <col min="520" max="520" width="24.140625" style="317" customWidth="1"/>
    <col min="521" max="521" width="26.42578125" style="317" customWidth="1"/>
    <col min="522" max="768" width="9.140625" style="317"/>
    <col min="769" max="772" width="5.140625" style="317" customWidth="1"/>
    <col min="773" max="773" width="82.140625" style="317" customWidth="1"/>
    <col min="774" max="775" width="20.28515625" style="317" customWidth="1"/>
    <col min="776" max="776" width="24.140625" style="317" customWidth="1"/>
    <col min="777" max="777" width="26.42578125" style="317" customWidth="1"/>
    <col min="778" max="1024" width="9.140625" style="317"/>
    <col min="1025" max="1028" width="5.140625" style="317" customWidth="1"/>
    <col min="1029" max="1029" width="82.140625" style="317" customWidth="1"/>
    <col min="1030" max="1031" width="20.28515625" style="317" customWidth="1"/>
    <col min="1032" max="1032" width="24.140625" style="317" customWidth="1"/>
    <col min="1033" max="1033" width="26.42578125" style="317" customWidth="1"/>
    <col min="1034" max="1280" width="9.140625" style="317"/>
    <col min="1281" max="1284" width="5.140625" style="317" customWidth="1"/>
    <col min="1285" max="1285" width="82.140625" style="317" customWidth="1"/>
    <col min="1286" max="1287" width="20.28515625" style="317" customWidth="1"/>
    <col min="1288" max="1288" width="24.140625" style="317" customWidth="1"/>
    <col min="1289" max="1289" width="26.42578125" style="317" customWidth="1"/>
    <col min="1290" max="1536" width="9.140625" style="317"/>
    <col min="1537" max="1540" width="5.140625" style="317" customWidth="1"/>
    <col min="1541" max="1541" width="82.140625" style="317" customWidth="1"/>
    <col min="1542" max="1543" width="20.28515625" style="317" customWidth="1"/>
    <col min="1544" max="1544" width="24.140625" style="317" customWidth="1"/>
    <col min="1545" max="1545" width="26.42578125" style="317" customWidth="1"/>
    <col min="1546" max="1792" width="9.140625" style="317"/>
    <col min="1793" max="1796" width="5.140625" style="317" customWidth="1"/>
    <col min="1797" max="1797" width="82.140625" style="317" customWidth="1"/>
    <col min="1798" max="1799" width="20.28515625" style="317" customWidth="1"/>
    <col min="1800" max="1800" width="24.140625" style="317" customWidth="1"/>
    <col min="1801" max="1801" width="26.42578125" style="317" customWidth="1"/>
    <col min="1802" max="2048" width="9.140625" style="317"/>
    <col min="2049" max="2052" width="5.140625" style="317" customWidth="1"/>
    <col min="2053" max="2053" width="82.140625" style="317" customWidth="1"/>
    <col min="2054" max="2055" width="20.28515625" style="317" customWidth="1"/>
    <col min="2056" max="2056" width="24.140625" style="317" customWidth="1"/>
    <col min="2057" max="2057" width="26.42578125" style="317" customWidth="1"/>
    <col min="2058" max="2304" width="9.140625" style="317"/>
    <col min="2305" max="2308" width="5.140625" style="317" customWidth="1"/>
    <col min="2309" max="2309" width="82.140625" style="317" customWidth="1"/>
    <col min="2310" max="2311" width="20.28515625" style="317" customWidth="1"/>
    <col min="2312" max="2312" width="24.140625" style="317" customWidth="1"/>
    <col min="2313" max="2313" width="26.42578125" style="317" customWidth="1"/>
    <col min="2314" max="2560" width="9.140625" style="317"/>
    <col min="2561" max="2564" width="5.140625" style="317" customWidth="1"/>
    <col min="2565" max="2565" width="82.140625" style="317" customWidth="1"/>
    <col min="2566" max="2567" width="20.28515625" style="317" customWidth="1"/>
    <col min="2568" max="2568" width="24.140625" style="317" customWidth="1"/>
    <col min="2569" max="2569" width="26.42578125" style="317" customWidth="1"/>
    <col min="2570" max="2816" width="9.140625" style="317"/>
    <col min="2817" max="2820" width="5.140625" style="317" customWidth="1"/>
    <col min="2821" max="2821" width="82.140625" style="317" customWidth="1"/>
    <col min="2822" max="2823" width="20.28515625" style="317" customWidth="1"/>
    <col min="2824" max="2824" width="24.140625" style="317" customWidth="1"/>
    <col min="2825" max="2825" width="26.42578125" style="317" customWidth="1"/>
    <col min="2826" max="3072" width="9.140625" style="317"/>
    <col min="3073" max="3076" width="5.140625" style="317" customWidth="1"/>
    <col min="3077" max="3077" width="82.140625" style="317" customWidth="1"/>
    <col min="3078" max="3079" width="20.28515625" style="317" customWidth="1"/>
    <col min="3080" max="3080" width="24.140625" style="317" customWidth="1"/>
    <col min="3081" max="3081" width="26.42578125" style="317" customWidth="1"/>
    <col min="3082" max="3328" width="9.140625" style="317"/>
    <col min="3329" max="3332" width="5.140625" style="317" customWidth="1"/>
    <col min="3333" max="3333" width="82.140625" style="317" customWidth="1"/>
    <col min="3334" max="3335" width="20.28515625" style="317" customWidth="1"/>
    <col min="3336" max="3336" width="24.140625" style="317" customWidth="1"/>
    <col min="3337" max="3337" width="26.42578125" style="317" customWidth="1"/>
    <col min="3338" max="3584" width="9.140625" style="317"/>
    <col min="3585" max="3588" width="5.140625" style="317" customWidth="1"/>
    <col min="3589" max="3589" width="82.140625" style="317" customWidth="1"/>
    <col min="3590" max="3591" width="20.28515625" style="317" customWidth="1"/>
    <col min="3592" max="3592" width="24.140625" style="317" customWidth="1"/>
    <col min="3593" max="3593" width="26.42578125" style="317" customWidth="1"/>
    <col min="3594" max="3840" width="9.140625" style="317"/>
    <col min="3841" max="3844" width="5.140625" style="317" customWidth="1"/>
    <col min="3845" max="3845" width="82.140625" style="317" customWidth="1"/>
    <col min="3846" max="3847" width="20.28515625" style="317" customWidth="1"/>
    <col min="3848" max="3848" width="24.140625" style="317" customWidth="1"/>
    <col min="3849" max="3849" width="26.42578125" style="317" customWidth="1"/>
    <col min="3850" max="4096" width="9.140625" style="317"/>
    <col min="4097" max="4100" width="5.140625" style="317" customWidth="1"/>
    <col min="4101" max="4101" width="82.140625" style="317" customWidth="1"/>
    <col min="4102" max="4103" width="20.28515625" style="317" customWidth="1"/>
    <col min="4104" max="4104" width="24.140625" style="317" customWidth="1"/>
    <col min="4105" max="4105" width="26.42578125" style="317" customWidth="1"/>
    <col min="4106" max="4352" width="9.140625" style="317"/>
    <col min="4353" max="4356" width="5.140625" style="317" customWidth="1"/>
    <col min="4357" max="4357" width="82.140625" style="317" customWidth="1"/>
    <col min="4358" max="4359" width="20.28515625" style="317" customWidth="1"/>
    <col min="4360" max="4360" width="24.140625" style="317" customWidth="1"/>
    <col min="4361" max="4361" width="26.42578125" style="317" customWidth="1"/>
    <col min="4362" max="4608" width="9.140625" style="317"/>
    <col min="4609" max="4612" width="5.140625" style="317" customWidth="1"/>
    <col min="4613" max="4613" width="82.140625" style="317" customWidth="1"/>
    <col min="4614" max="4615" width="20.28515625" style="317" customWidth="1"/>
    <col min="4616" max="4616" width="24.140625" style="317" customWidth="1"/>
    <col min="4617" max="4617" width="26.42578125" style="317" customWidth="1"/>
    <col min="4618" max="4864" width="9.140625" style="317"/>
    <col min="4865" max="4868" width="5.140625" style="317" customWidth="1"/>
    <col min="4869" max="4869" width="82.140625" style="317" customWidth="1"/>
    <col min="4870" max="4871" width="20.28515625" style="317" customWidth="1"/>
    <col min="4872" max="4872" width="24.140625" style="317" customWidth="1"/>
    <col min="4873" max="4873" width="26.42578125" style="317" customWidth="1"/>
    <col min="4874" max="5120" width="9.140625" style="317"/>
    <col min="5121" max="5124" width="5.140625" style="317" customWidth="1"/>
    <col min="5125" max="5125" width="82.140625" style="317" customWidth="1"/>
    <col min="5126" max="5127" width="20.28515625" style="317" customWidth="1"/>
    <col min="5128" max="5128" width="24.140625" style="317" customWidth="1"/>
    <col min="5129" max="5129" width="26.42578125" style="317" customWidth="1"/>
    <col min="5130" max="5376" width="9.140625" style="317"/>
    <col min="5377" max="5380" width="5.140625" style="317" customWidth="1"/>
    <col min="5381" max="5381" width="82.140625" style="317" customWidth="1"/>
    <col min="5382" max="5383" width="20.28515625" style="317" customWidth="1"/>
    <col min="5384" max="5384" width="24.140625" style="317" customWidth="1"/>
    <col min="5385" max="5385" width="26.42578125" style="317" customWidth="1"/>
    <col min="5386" max="5632" width="9.140625" style="317"/>
    <col min="5633" max="5636" width="5.140625" style="317" customWidth="1"/>
    <col min="5637" max="5637" width="82.140625" style="317" customWidth="1"/>
    <col min="5638" max="5639" width="20.28515625" style="317" customWidth="1"/>
    <col min="5640" max="5640" width="24.140625" style="317" customWidth="1"/>
    <col min="5641" max="5641" width="26.42578125" style="317" customWidth="1"/>
    <col min="5642" max="5888" width="9.140625" style="317"/>
    <col min="5889" max="5892" width="5.140625" style="317" customWidth="1"/>
    <col min="5893" max="5893" width="82.140625" style="317" customWidth="1"/>
    <col min="5894" max="5895" width="20.28515625" style="317" customWidth="1"/>
    <col min="5896" max="5896" width="24.140625" style="317" customWidth="1"/>
    <col min="5897" max="5897" width="26.42578125" style="317" customWidth="1"/>
    <col min="5898" max="6144" width="9.140625" style="317"/>
    <col min="6145" max="6148" width="5.140625" style="317" customWidth="1"/>
    <col min="6149" max="6149" width="82.140625" style="317" customWidth="1"/>
    <col min="6150" max="6151" width="20.28515625" style="317" customWidth="1"/>
    <col min="6152" max="6152" width="24.140625" style="317" customWidth="1"/>
    <col min="6153" max="6153" width="26.42578125" style="317" customWidth="1"/>
    <col min="6154" max="6400" width="9.140625" style="317"/>
    <col min="6401" max="6404" width="5.140625" style="317" customWidth="1"/>
    <col min="6405" max="6405" width="82.140625" style="317" customWidth="1"/>
    <col min="6406" max="6407" width="20.28515625" style="317" customWidth="1"/>
    <col min="6408" max="6408" width="24.140625" style="317" customWidth="1"/>
    <col min="6409" max="6409" width="26.42578125" style="317" customWidth="1"/>
    <col min="6410" max="6656" width="9.140625" style="317"/>
    <col min="6657" max="6660" width="5.140625" style="317" customWidth="1"/>
    <col min="6661" max="6661" width="82.140625" style="317" customWidth="1"/>
    <col min="6662" max="6663" width="20.28515625" style="317" customWidth="1"/>
    <col min="6664" max="6664" width="24.140625" style="317" customWidth="1"/>
    <col min="6665" max="6665" width="26.42578125" style="317" customWidth="1"/>
    <col min="6666" max="6912" width="9.140625" style="317"/>
    <col min="6913" max="6916" width="5.140625" style="317" customWidth="1"/>
    <col min="6917" max="6917" width="82.140625" style="317" customWidth="1"/>
    <col min="6918" max="6919" width="20.28515625" style="317" customWidth="1"/>
    <col min="6920" max="6920" width="24.140625" style="317" customWidth="1"/>
    <col min="6921" max="6921" width="26.42578125" style="317" customWidth="1"/>
    <col min="6922" max="7168" width="9.140625" style="317"/>
    <col min="7169" max="7172" width="5.140625" style="317" customWidth="1"/>
    <col min="7173" max="7173" width="82.140625" style="317" customWidth="1"/>
    <col min="7174" max="7175" width="20.28515625" style="317" customWidth="1"/>
    <col min="7176" max="7176" width="24.140625" style="317" customWidth="1"/>
    <col min="7177" max="7177" width="26.42578125" style="317" customWidth="1"/>
    <col min="7178" max="7424" width="9.140625" style="317"/>
    <col min="7425" max="7428" width="5.140625" style="317" customWidth="1"/>
    <col min="7429" max="7429" width="82.140625" style="317" customWidth="1"/>
    <col min="7430" max="7431" width="20.28515625" style="317" customWidth="1"/>
    <col min="7432" max="7432" width="24.140625" style="317" customWidth="1"/>
    <col min="7433" max="7433" width="26.42578125" style="317" customWidth="1"/>
    <col min="7434" max="7680" width="9.140625" style="317"/>
    <col min="7681" max="7684" width="5.140625" style="317" customWidth="1"/>
    <col min="7685" max="7685" width="82.140625" style="317" customWidth="1"/>
    <col min="7686" max="7687" width="20.28515625" style="317" customWidth="1"/>
    <col min="7688" max="7688" width="24.140625" style="317" customWidth="1"/>
    <col min="7689" max="7689" width="26.42578125" style="317" customWidth="1"/>
    <col min="7690" max="7936" width="9.140625" style="317"/>
    <col min="7937" max="7940" width="5.140625" style="317" customWidth="1"/>
    <col min="7941" max="7941" width="82.140625" style="317" customWidth="1"/>
    <col min="7942" max="7943" width="20.28515625" style="317" customWidth="1"/>
    <col min="7944" max="7944" width="24.140625" style="317" customWidth="1"/>
    <col min="7945" max="7945" width="26.42578125" style="317" customWidth="1"/>
    <col min="7946" max="8192" width="9.140625" style="317"/>
    <col min="8193" max="8196" width="5.140625" style="317" customWidth="1"/>
    <col min="8197" max="8197" width="82.140625" style="317" customWidth="1"/>
    <col min="8198" max="8199" width="20.28515625" style="317" customWidth="1"/>
    <col min="8200" max="8200" width="24.140625" style="317" customWidth="1"/>
    <col min="8201" max="8201" width="26.42578125" style="317" customWidth="1"/>
    <col min="8202" max="8448" width="9.140625" style="317"/>
    <col min="8449" max="8452" width="5.140625" style="317" customWidth="1"/>
    <col min="8453" max="8453" width="82.140625" style="317" customWidth="1"/>
    <col min="8454" max="8455" width="20.28515625" style="317" customWidth="1"/>
    <col min="8456" max="8456" width="24.140625" style="317" customWidth="1"/>
    <col min="8457" max="8457" width="26.42578125" style="317" customWidth="1"/>
    <col min="8458" max="8704" width="9.140625" style="317"/>
    <col min="8705" max="8708" width="5.140625" style="317" customWidth="1"/>
    <col min="8709" max="8709" width="82.140625" style="317" customWidth="1"/>
    <col min="8710" max="8711" width="20.28515625" style="317" customWidth="1"/>
    <col min="8712" max="8712" width="24.140625" style="317" customWidth="1"/>
    <col min="8713" max="8713" width="26.42578125" style="317" customWidth="1"/>
    <col min="8714" max="8960" width="9.140625" style="317"/>
    <col min="8961" max="8964" width="5.140625" style="317" customWidth="1"/>
    <col min="8965" max="8965" width="82.140625" style="317" customWidth="1"/>
    <col min="8966" max="8967" width="20.28515625" style="317" customWidth="1"/>
    <col min="8968" max="8968" width="24.140625" style="317" customWidth="1"/>
    <col min="8969" max="8969" width="26.42578125" style="317" customWidth="1"/>
    <col min="8970" max="9216" width="9.140625" style="317"/>
    <col min="9217" max="9220" width="5.140625" style="317" customWidth="1"/>
    <col min="9221" max="9221" width="82.140625" style="317" customWidth="1"/>
    <col min="9222" max="9223" width="20.28515625" style="317" customWidth="1"/>
    <col min="9224" max="9224" width="24.140625" style="317" customWidth="1"/>
    <col min="9225" max="9225" width="26.42578125" style="317" customWidth="1"/>
    <col min="9226" max="9472" width="9.140625" style="317"/>
    <col min="9473" max="9476" width="5.140625" style="317" customWidth="1"/>
    <col min="9477" max="9477" width="82.140625" style="317" customWidth="1"/>
    <col min="9478" max="9479" width="20.28515625" style="317" customWidth="1"/>
    <col min="9480" max="9480" width="24.140625" style="317" customWidth="1"/>
    <col min="9481" max="9481" width="26.42578125" style="317" customWidth="1"/>
    <col min="9482" max="9728" width="9.140625" style="317"/>
    <col min="9729" max="9732" width="5.140625" style="317" customWidth="1"/>
    <col min="9733" max="9733" width="82.140625" style="317" customWidth="1"/>
    <col min="9734" max="9735" width="20.28515625" style="317" customWidth="1"/>
    <col min="9736" max="9736" width="24.140625" style="317" customWidth="1"/>
    <col min="9737" max="9737" width="26.42578125" style="317" customWidth="1"/>
    <col min="9738" max="9984" width="9.140625" style="317"/>
    <col min="9985" max="9988" width="5.140625" style="317" customWidth="1"/>
    <col min="9989" max="9989" width="82.140625" style="317" customWidth="1"/>
    <col min="9990" max="9991" width="20.28515625" style="317" customWidth="1"/>
    <col min="9992" max="9992" width="24.140625" style="317" customWidth="1"/>
    <col min="9993" max="9993" width="26.42578125" style="317" customWidth="1"/>
    <col min="9994" max="10240" width="9.140625" style="317"/>
    <col min="10241" max="10244" width="5.140625" style="317" customWidth="1"/>
    <col min="10245" max="10245" width="82.140625" style="317" customWidth="1"/>
    <col min="10246" max="10247" width="20.28515625" style="317" customWidth="1"/>
    <col min="10248" max="10248" width="24.140625" style="317" customWidth="1"/>
    <col min="10249" max="10249" width="26.42578125" style="317" customWidth="1"/>
    <col min="10250" max="10496" width="9.140625" style="317"/>
    <col min="10497" max="10500" width="5.140625" style="317" customWidth="1"/>
    <col min="10501" max="10501" width="82.140625" style="317" customWidth="1"/>
    <col min="10502" max="10503" width="20.28515625" style="317" customWidth="1"/>
    <col min="10504" max="10504" width="24.140625" style="317" customWidth="1"/>
    <col min="10505" max="10505" width="26.42578125" style="317" customWidth="1"/>
    <col min="10506" max="10752" width="9.140625" style="317"/>
    <col min="10753" max="10756" width="5.140625" style="317" customWidth="1"/>
    <col min="10757" max="10757" width="82.140625" style="317" customWidth="1"/>
    <col min="10758" max="10759" width="20.28515625" style="317" customWidth="1"/>
    <col min="10760" max="10760" width="24.140625" style="317" customWidth="1"/>
    <col min="10761" max="10761" width="26.42578125" style="317" customWidth="1"/>
    <col min="10762" max="11008" width="9.140625" style="317"/>
    <col min="11009" max="11012" width="5.140625" style="317" customWidth="1"/>
    <col min="11013" max="11013" width="82.140625" style="317" customWidth="1"/>
    <col min="11014" max="11015" width="20.28515625" style="317" customWidth="1"/>
    <col min="11016" max="11016" width="24.140625" style="317" customWidth="1"/>
    <col min="11017" max="11017" width="26.42578125" style="317" customWidth="1"/>
    <col min="11018" max="11264" width="9.140625" style="317"/>
    <col min="11265" max="11268" width="5.140625" style="317" customWidth="1"/>
    <col min="11269" max="11269" width="82.140625" style="317" customWidth="1"/>
    <col min="11270" max="11271" width="20.28515625" style="317" customWidth="1"/>
    <col min="11272" max="11272" width="24.140625" style="317" customWidth="1"/>
    <col min="11273" max="11273" width="26.42578125" style="317" customWidth="1"/>
    <col min="11274" max="11520" width="9.140625" style="317"/>
    <col min="11521" max="11524" width="5.140625" style="317" customWidth="1"/>
    <col min="11525" max="11525" width="82.140625" style="317" customWidth="1"/>
    <col min="11526" max="11527" width="20.28515625" style="317" customWidth="1"/>
    <col min="11528" max="11528" width="24.140625" style="317" customWidth="1"/>
    <col min="11529" max="11529" width="26.42578125" style="317" customWidth="1"/>
    <col min="11530" max="11776" width="9.140625" style="317"/>
    <col min="11777" max="11780" width="5.140625" style="317" customWidth="1"/>
    <col min="11781" max="11781" width="82.140625" style="317" customWidth="1"/>
    <col min="11782" max="11783" width="20.28515625" style="317" customWidth="1"/>
    <col min="11784" max="11784" width="24.140625" style="317" customWidth="1"/>
    <col min="11785" max="11785" width="26.42578125" style="317" customWidth="1"/>
    <col min="11786" max="12032" width="9.140625" style="317"/>
    <col min="12033" max="12036" width="5.140625" style="317" customWidth="1"/>
    <col min="12037" max="12037" width="82.140625" style="317" customWidth="1"/>
    <col min="12038" max="12039" width="20.28515625" style="317" customWidth="1"/>
    <col min="12040" max="12040" width="24.140625" style="317" customWidth="1"/>
    <col min="12041" max="12041" width="26.42578125" style="317" customWidth="1"/>
    <col min="12042" max="12288" width="9.140625" style="317"/>
    <col min="12289" max="12292" width="5.140625" style="317" customWidth="1"/>
    <col min="12293" max="12293" width="82.140625" style="317" customWidth="1"/>
    <col min="12294" max="12295" width="20.28515625" style="317" customWidth="1"/>
    <col min="12296" max="12296" width="24.140625" style="317" customWidth="1"/>
    <col min="12297" max="12297" width="26.42578125" style="317" customWidth="1"/>
    <col min="12298" max="12544" width="9.140625" style="317"/>
    <col min="12545" max="12548" width="5.140625" style="317" customWidth="1"/>
    <col min="12549" max="12549" width="82.140625" style="317" customWidth="1"/>
    <col min="12550" max="12551" width="20.28515625" style="317" customWidth="1"/>
    <col min="12552" max="12552" width="24.140625" style="317" customWidth="1"/>
    <col min="12553" max="12553" width="26.42578125" style="317" customWidth="1"/>
    <col min="12554" max="12800" width="9.140625" style="317"/>
    <col min="12801" max="12804" width="5.140625" style="317" customWidth="1"/>
    <col min="12805" max="12805" width="82.140625" style="317" customWidth="1"/>
    <col min="12806" max="12807" width="20.28515625" style="317" customWidth="1"/>
    <col min="12808" max="12808" width="24.140625" style="317" customWidth="1"/>
    <col min="12809" max="12809" width="26.42578125" style="317" customWidth="1"/>
    <col min="12810" max="13056" width="9.140625" style="317"/>
    <col min="13057" max="13060" width="5.140625" style="317" customWidth="1"/>
    <col min="13061" max="13061" width="82.140625" style="317" customWidth="1"/>
    <col min="13062" max="13063" width="20.28515625" style="317" customWidth="1"/>
    <col min="13064" max="13064" width="24.140625" style="317" customWidth="1"/>
    <col min="13065" max="13065" width="26.42578125" style="317" customWidth="1"/>
    <col min="13066" max="13312" width="9.140625" style="317"/>
    <col min="13313" max="13316" width="5.140625" style="317" customWidth="1"/>
    <col min="13317" max="13317" width="82.140625" style="317" customWidth="1"/>
    <col min="13318" max="13319" width="20.28515625" style="317" customWidth="1"/>
    <col min="13320" max="13320" width="24.140625" style="317" customWidth="1"/>
    <col min="13321" max="13321" width="26.42578125" style="317" customWidth="1"/>
    <col min="13322" max="13568" width="9.140625" style="317"/>
    <col min="13569" max="13572" width="5.140625" style="317" customWidth="1"/>
    <col min="13573" max="13573" width="82.140625" style="317" customWidth="1"/>
    <col min="13574" max="13575" width="20.28515625" style="317" customWidth="1"/>
    <col min="13576" max="13576" width="24.140625" style="317" customWidth="1"/>
    <col min="13577" max="13577" width="26.42578125" style="317" customWidth="1"/>
    <col min="13578" max="13824" width="9.140625" style="317"/>
    <col min="13825" max="13828" width="5.140625" style="317" customWidth="1"/>
    <col min="13829" max="13829" width="82.140625" style="317" customWidth="1"/>
    <col min="13830" max="13831" width="20.28515625" style="317" customWidth="1"/>
    <col min="13832" max="13832" width="24.140625" style="317" customWidth="1"/>
    <col min="13833" max="13833" width="26.42578125" style="317" customWidth="1"/>
    <col min="13834" max="14080" width="9.140625" style="317"/>
    <col min="14081" max="14084" width="5.140625" style="317" customWidth="1"/>
    <col min="14085" max="14085" width="82.140625" style="317" customWidth="1"/>
    <col min="14086" max="14087" width="20.28515625" style="317" customWidth="1"/>
    <col min="14088" max="14088" width="24.140625" style="317" customWidth="1"/>
    <col min="14089" max="14089" width="26.42578125" style="317" customWidth="1"/>
    <col min="14090" max="14336" width="9.140625" style="317"/>
    <col min="14337" max="14340" width="5.140625" style="317" customWidth="1"/>
    <col min="14341" max="14341" width="82.140625" style="317" customWidth="1"/>
    <col min="14342" max="14343" width="20.28515625" style="317" customWidth="1"/>
    <col min="14344" max="14344" width="24.140625" style="317" customWidth="1"/>
    <col min="14345" max="14345" width="26.42578125" style="317" customWidth="1"/>
    <col min="14346" max="14592" width="9.140625" style="317"/>
    <col min="14593" max="14596" width="5.140625" style="317" customWidth="1"/>
    <col min="14597" max="14597" width="82.140625" style="317" customWidth="1"/>
    <col min="14598" max="14599" width="20.28515625" style="317" customWidth="1"/>
    <col min="14600" max="14600" width="24.140625" style="317" customWidth="1"/>
    <col min="14601" max="14601" width="26.42578125" style="317" customWidth="1"/>
    <col min="14602" max="14848" width="9.140625" style="317"/>
    <col min="14849" max="14852" width="5.140625" style="317" customWidth="1"/>
    <col min="14853" max="14853" width="82.140625" style="317" customWidth="1"/>
    <col min="14854" max="14855" width="20.28515625" style="317" customWidth="1"/>
    <col min="14856" max="14856" width="24.140625" style="317" customWidth="1"/>
    <col min="14857" max="14857" width="26.42578125" style="317" customWidth="1"/>
    <col min="14858" max="15104" width="9.140625" style="317"/>
    <col min="15105" max="15108" width="5.140625" style="317" customWidth="1"/>
    <col min="15109" max="15109" width="82.140625" style="317" customWidth="1"/>
    <col min="15110" max="15111" width="20.28515625" style="317" customWidth="1"/>
    <col min="15112" max="15112" width="24.140625" style="317" customWidth="1"/>
    <col min="15113" max="15113" width="26.42578125" style="317" customWidth="1"/>
    <col min="15114" max="15360" width="9.140625" style="317"/>
    <col min="15361" max="15364" width="5.140625" style="317" customWidth="1"/>
    <col min="15365" max="15365" width="82.140625" style="317" customWidth="1"/>
    <col min="15366" max="15367" width="20.28515625" style="317" customWidth="1"/>
    <col min="15368" max="15368" width="24.140625" style="317" customWidth="1"/>
    <col min="15369" max="15369" width="26.42578125" style="317" customWidth="1"/>
    <col min="15370" max="15616" width="9.140625" style="317"/>
    <col min="15617" max="15620" width="5.140625" style="317" customWidth="1"/>
    <col min="15621" max="15621" width="82.140625" style="317" customWidth="1"/>
    <col min="15622" max="15623" width="20.28515625" style="317" customWidth="1"/>
    <col min="15624" max="15624" width="24.140625" style="317" customWidth="1"/>
    <col min="15625" max="15625" width="26.42578125" style="317" customWidth="1"/>
    <col min="15626" max="15872" width="9.140625" style="317"/>
    <col min="15873" max="15876" width="5.140625" style="317" customWidth="1"/>
    <col min="15877" max="15877" width="82.140625" style="317" customWidth="1"/>
    <col min="15878" max="15879" width="20.28515625" style="317" customWidth="1"/>
    <col min="15880" max="15880" width="24.140625" style="317" customWidth="1"/>
    <col min="15881" max="15881" width="26.42578125" style="317" customWidth="1"/>
    <col min="15882" max="16128" width="9.140625" style="317"/>
    <col min="16129" max="16132" width="5.140625" style="317" customWidth="1"/>
    <col min="16133" max="16133" width="82.140625" style="317" customWidth="1"/>
    <col min="16134" max="16135" width="20.28515625" style="317" customWidth="1"/>
    <col min="16136" max="16136" width="24.140625" style="317" customWidth="1"/>
    <col min="16137" max="16137" width="26.42578125" style="317" customWidth="1"/>
    <col min="16138" max="16384" width="9.140625" style="317"/>
  </cols>
  <sheetData>
    <row r="1" spans="1:9">
      <c r="A1" s="707"/>
      <c r="B1" s="707"/>
      <c r="C1" s="707"/>
      <c r="D1" s="707"/>
      <c r="E1" s="707"/>
      <c r="F1" s="707"/>
      <c r="G1" s="707"/>
      <c r="H1" s="707"/>
      <c r="I1" s="707"/>
    </row>
    <row r="2" spans="1:9" ht="29.25" customHeight="1">
      <c r="A2" s="706" t="s">
        <v>938</v>
      </c>
      <c r="B2" s="706"/>
      <c r="C2" s="706"/>
      <c r="D2" s="706"/>
      <c r="E2" s="706"/>
      <c r="F2" s="706"/>
      <c r="G2" s="706"/>
      <c r="H2" s="706"/>
      <c r="I2" s="706"/>
    </row>
    <row r="3" spans="1:9" ht="29.25" customHeight="1">
      <c r="A3" s="706" t="s">
        <v>939</v>
      </c>
      <c r="B3" s="706"/>
      <c r="C3" s="706"/>
      <c r="D3" s="706"/>
      <c r="E3" s="706"/>
      <c r="F3" s="706"/>
      <c r="G3" s="706"/>
      <c r="H3" s="706"/>
      <c r="I3" s="706"/>
    </row>
    <row r="4" spans="1:9" ht="24.75" customHeight="1">
      <c r="A4" s="708" t="s">
        <v>339</v>
      </c>
      <c r="B4" s="708"/>
      <c r="C4" s="708"/>
      <c r="D4" s="708"/>
      <c r="E4" s="27" t="s">
        <v>1</v>
      </c>
      <c r="F4" s="28"/>
      <c r="G4" s="27" t="s">
        <v>61</v>
      </c>
      <c r="H4" s="27" t="s">
        <v>62</v>
      </c>
      <c r="I4" s="28"/>
    </row>
    <row r="5" spans="1:9">
      <c r="A5" s="708" t="s">
        <v>340</v>
      </c>
      <c r="B5" s="708"/>
      <c r="C5" s="708"/>
      <c r="D5" s="708"/>
      <c r="E5" s="27" t="s">
        <v>3</v>
      </c>
      <c r="F5" s="28"/>
      <c r="G5" s="27" t="s">
        <v>299</v>
      </c>
      <c r="H5" s="27" t="s">
        <v>300</v>
      </c>
      <c r="I5" s="28"/>
    </row>
    <row r="6" spans="1:9" ht="16.5" customHeight="1">
      <c r="A6" s="318"/>
      <c r="B6" s="318"/>
      <c r="C6" s="318"/>
      <c r="D6" s="318"/>
      <c r="E6" s="28"/>
      <c r="F6" s="28"/>
      <c r="G6" s="28"/>
      <c r="H6" s="28"/>
      <c r="I6" s="28"/>
    </row>
    <row r="7" spans="1:9" ht="23.25" customHeight="1">
      <c r="A7" s="29"/>
      <c r="B7" s="29"/>
      <c r="C7" s="29"/>
      <c r="D7" s="29"/>
      <c r="E7" s="319"/>
      <c r="F7" s="320"/>
      <c r="G7" s="319"/>
      <c r="H7" s="319"/>
      <c r="I7" s="320"/>
    </row>
    <row r="8" spans="1:9" ht="28.5" customHeight="1">
      <c r="A8" s="709" t="s">
        <v>301</v>
      </c>
      <c r="B8" s="709"/>
      <c r="C8" s="709"/>
      <c r="D8" s="709"/>
      <c r="E8" s="709" t="s">
        <v>302</v>
      </c>
      <c r="F8" s="710" t="s">
        <v>5</v>
      </c>
      <c r="G8" s="710" t="s">
        <v>929</v>
      </c>
      <c r="H8" s="710" t="s">
        <v>68</v>
      </c>
      <c r="I8" s="712" t="s">
        <v>69</v>
      </c>
    </row>
    <row r="9" spans="1:9" s="321" customFormat="1" ht="24" customHeight="1">
      <c r="A9" s="709"/>
      <c r="B9" s="709"/>
      <c r="C9" s="709"/>
      <c r="D9" s="709"/>
      <c r="E9" s="709"/>
      <c r="F9" s="711"/>
      <c r="G9" s="711"/>
      <c r="H9" s="711"/>
      <c r="I9" s="713"/>
    </row>
    <row r="10" spans="1:9" s="324" customFormat="1" ht="26.25" customHeight="1">
      <c r="A10" s="704">
        <v>1</v>
      </c>
      <c r="B10" s="704"/>
      <c r="C10" s="704"/>
      <c r="D10" s="704"/>
      <c r="E10" s="231">
        <v>2</v>
      </c>
      <c r="F10" s="322">
        <v>3</v>
      </c>
      <c r="G10" s="231">
        <v>4</v>
      </c>
      <c r="H10" s="323">
        <v>5</v>
      </c>
      <c r="I10" s="231">
        <v>6</v>
      </c>
    </row>
    <row r="11" spans="1:9" s="321" customFormat="1" ht="31.5" customHeight="1">
      <c r="A11" s="233">
        <v>5</v>
      </c>
      <c r="B11" s="233"/>
      <c r="C11" s="233"/>
      <c r="D11" s="233"/>
      <c r="E11" s="234" t="s">
        <v>909</v>
      </c>
      <c r="F11" s="325"/>
      <c r="G11" s="236">
        <f>G12+G33+G56+G63+G78</f>
        <v>2266751356</v>
      </c>
      <c r="H11" s="234"/>
      <c r="I11" s="235"/>
    </row>
    <row r="12" spans="1:9" s="321" customFormat="1" ht="31.5" customHeight="1">
      <c r="A12" s="237">
        <v>5</v>
      </c>
      <c r="B12" s="237">
        <v>1</v>
      </c>
      <c r="C12" s="237"/>
      <c r="D12" s="237"/>
      <c r="E12" s="238" t="s">
        <v>6</v>
      </c>
      <c r="F12" s="326"/>
      <c r="G12" s="240">
        <f>G13+G20+G23+G30</f>
        <v>897048054</v>
      </c>
      <c r="H12" s="238"/>
      <c r="I12" s="239"/>
    </row>
    <row r="13" spans="1:9" s="321" customFormat="1" ht="30" customHeight="1">
      <c r="A13" s="241">
        <v>5</v>
      </c>
      <c r="B13" s="241">
        <v>1</v>
      </c>
      <c r="C13" s="241">
        <v>1</v>
      </c>
      <c r="D13" s="241"/>
      <c r="E13" s="242" t="s">
        <v>304</v>
      </c>
      <c r="F13" s="327"/>
      <c r="G13" s="244">
        <f>SUM(G14:G19)</f>
        <v>851438054</v>
      </c>
      <c r="H13" s="242"/>
      <c r="I13" s="243"/>
    </row>
    <row r="14" spans="1:9" s="321" customFormat="1" ht="21.75" customHeight="1">
      <c r="A14" s="245">
        <v>5</v>
      </c>
      <c r="B14" s="245">
        <v>1</v>
      </c>
      <c r="C14" s="245">
        <v>1</v>
      </c>
      <c r="D14" s="245">
        <v>1</v>
      </c>
      <c r="E14" s="246" t="s">
        <v>7</v>
      </c>
      <c r="F14" s="328" t="s">
        <v>910</v>
      </c>
      <c r="G14" s="248">
        <v>38100000</v>
      </c>
      <c r="H14" s="246" t="s">
        <v>361</v>
      </c>
      <c r="I14" s="247" t="s">
        <v>9</v>
      </c>
    </row>
    <row r="15" spans="1:9" ht="21.75" customHeight="1">
      <c r="A15" s="245">
        <v>5</v>
      </c>
      <c r="B15" s="245">
        <v>1</v>
      </c>
      <c r="C15" s="245">
        <v>1</v>
      </c>
      <c r="D15" s="245">
        <v>2</v>
      </c>
      <c r="E15" s="246" t="s">
        <v>10</v>
      </c>
      <c r="F15" s="328" t="s">
        <v>910</v>
      </c>
      <c r="G15" s="248">
        <v>666350000</v>
      </c>
      <c r="H15" s="246" t="s">
        <v>361</v>
      </c>
      <c r="I15" s="247" t="s">
        <v>9</v>
      </c>
    </row>
    <row r="16" spans="1:9" ht="21.75" customHeight="1">
      <c r="A16" s="245">
        <v>5</v>
      </c>
      <c r="B16" s="245">
        <v>1</v>
      </c>
      <c r="C16" s="245">
        <v>1</v>
      </c>
      <c r="D16" s="245">
        <v>3</v>
      </c>
      <c r="E16" s="250" t="s">
        <v>11</v>
      </c>
      <c r="F16" s="329" t="s">
        <v>910</v>
      </c>
      <c r="G16" s="248">
        <v>51060972</v>
      </c>
      <c r="H16" s="246" t="s">
        <v>361</v>
      </c>
      <c r="I16" s="247" t="s">
        <v>9</v>
      </c>
    </row>
    <row r="17" spans="1:9" ht="36" customHeight="1">
      <c r="A17" s="245">
        <v>5</v>
      </c>
      <c r="B17" s="245">
        <v>1</v>
      </c>
      <c r="C17" s="245">
        <v>1</v>
      </c>
      <c r="D17" s="245">
        <v>4</v>
      </c>
      <c r="E17" s="251" t="s">
        <v>305</v>
      </c>
      <c r="F17" s="329" t="s">
        <v>910</v>
      </c>
      <c r="G17" s="253">
        <v>28264582</v>
      </c>
      <c r="H17" s="246" t="s">
        <v>361</v>
      </c>
      <c r="I17" s="254" t="s">
        <v>930</v>
      </c>
    </row>
    <row r="18" spans="1:9" ht="21" customHeight="1">
      <c r="A18" s="245">
        <v>5</v>
      </c>
      <c r="B18" s="245">
        <v>1</v>
      </c>
      <c r="C18" s="245">
        <v>1</v>
      </c>
      <c r="D18" s="245">
        <v>5</v>
      </c>
      <c r="E18" s="250" t="s">
        <v>37</v>
      </c>
      <c r="F18" s="329" t="s">
        <v>910</v>
      </c>
      <c r="G18" s="253">
        <v>44562500</v>
      </c>
      <c r="H18" s="246" t="s">
        <v>361</v>
      </c>
      <c r="I18" s="252" t="s">
        <v>9</v>
      </c>
    </row>
    <row r="19" spans="1:9" ht="21" customHeight="1">
      <c r="A19" s="245">
        <v>5</v>
      </c>
      <c r="B19" s="245">
        <v>1</v>
      </c>
      <c r="C19" s="245">
        <v>1</v>
      </c>
      <c r="D19" s="245">
        <v>7</v>
      </c>
      <c r="E19" s="250" t="s">
        <v>42</v>
      </c>
      <c r="F19" s="329" t="s">
        <v>910</v>
      </c>
      <c r="G19" s="255">
        <v>23100000</v>
      </c>
      <c r="H19" s="246" t="s">
        <v>361</v>
      </c>
      <c r="I19" s="255" t="s">
        <v>9</v>
      </c>
    </row>
    <row r="20" spans="1:9" s="331" customFormat="1" ht="34.5" customHeight="1">
      <c r="A20" s="260">
        <v>5</v>
      </c>
      <c r="B20" s="260">
        <v>1</v>
      </c>
      <c r="C20" s="260">
        <v>3</v>
      </c>
      <c r="D20" s="260"/>
      <c r="E20" s="261" t="s">
        <v>308</v>
      </c>
      <c r="F20" s="330"/>
      <c r="G20" s="244">
        <f>SUM(G21:G22)</f>
        <v>12560000</v>
      </c>
      <c r="H20" s="261"/>
      <c r="I20" s="243"/>
    </row>
    <row r="21" spans="1:9" ht="24" customHeight="1">
      <c r="A21" s="265">
        <v>5</v>
      </c>
      <c r="B21" s="265">
        <v>1</v>
      </c>
      <c r="C21" s="265">
        <v>3</v>
      </c>
      <c r="D21" s="258">
        <v>90</v>
      </c>
      <c r="E21" s="250" t="s">
        <v>47</v>
      </c>
      <c r="F21" s="329" t="s">
        <v>910</v>
      </c>
      <c r="G21" s="253">
        <v>700000</v>
      </c>
      <c r="H21" s="246" t="s">
        <v>361</v>
      </c>
      <c r="I21" s="252" t="s">
        <v>46</v>
      </c>
    </row>
    <row r="22" spans="1:9" ht="25.5" customHeight="1">
      <c r="A22" s="265">
        <v>5</v>
      </c>
      <c r="B22" s="265">
        <v>1</v>
      </c>
      <c r="C22" s="265">
        <v>3</v>
      </c>
      <c r="D22" s="263">
        <v>91</v>
      </c>
      <c r="E22" s="250" t="s">
        <v>309</v>
      </c>
      <c r="F22" s="329" t="s">
        <v>910</v>
      </c>
      <c r="G22" s="253">
        <v>11860000</v>
      </c>
      <c r="H22" s="246" t="s">
        <v>361</v>
      </c>
      <c r="I22" s="252" t="s">
        <v>931</v>
      </c>
    </row>
    <row r="23" spans="1:9" ht="33" customHeight="1">
      <c r="A23" s="260">
        <v>5</v>
      </c>
      <c r="B23" s="260">
        <v>1</v>
      </c>
      <c r="C23" s="260">
        <v>4</v>
      </c>
      <c r="D23" s="260"/>
      <c r="E23" s="264" t="s">
        <v>90</v>
      </c>
      <c r="F23" s="332"/>
      <c r="G23" s="244">
        <f>SUM(G24:G29)</f>
        <v>16875000</v>
      </c>
      <c r="H23" s="264"/>
      <c r="I23" s="243"/>
    </row>
    <row r="24" spans="1:9" s="321" customFormat="1" ht="26.25" customHeight="1">
      <c r="A24" s="265">
        <v>5</v>
      </c>
      <c r="B24" s="265">
        <v>1</v>
      </c>
      <c r="C24" s="265">
        <v>4</v>
      </c>
      <c r="D24" s="258">
        <v>3</v>
      </c>
      <c r="E24" s="251" t="s">
        <v>49</v>
      </c>
      <c r="F24" s="328" t="s">
        <v>910</v>
      </c>
      <c r="G24" s="268">
        <v>2980000</v>
      </c>
      <c r="H24" s="246" t="s">
        <v>361</v>
      </c>
      <c r="I24" s="267" t="s">
        <v>932</v>
      </c>
    </row>
    <row r="25" spans="1:9" ht="33" customHeight="1">
      <c r="A25" s="265">
        <v>5</v>
      </c>
      <c r="B25" s="265">
        <v>1</v>
      </c>
      <c r="C25" s="265">
        <v>4</v>
      </c>
      <c r="D25" s="258">
        <v>4</v>
      </c>
      <c r="E25" s="269" t="s">
        <v>94</v>
      </c>
      <c r="F25" s="333" t="s">
        <v>910</v>
      </c>
      <c r="G25" s="248">
        <v>4435000</v>
      </c>
      <c r="H25" s="246" t="s">
        <v>361</v>
      </c>
      <c r="I25" s="247" t="s">
        <v>31</v>
      </c>
    </row>
    <row r="26" spans="1:9" s="331" customFormat="1" ht="26.25" customHeight="1">
      <c r="A26" s="265">
        <v>5</v>
      </c>
      <c r="B26" s="265">
        <v>1</v>
      </c>
      <c r="C26" s="265">
        <v>4</v>
      </c>
      <c r="D26" s="258">
        <v>5</v>
      </c>
      <c r="E26" s="246" t="s">
        <v>95</v>
      </c>
      <c r="F26" s="328" t="s">
        <v>910</v>
      </c>
      <c r="G26" s="272">
        <v>600000</v>
      </c>
      <c r="H26" s="246" t="s">
        <v>361</v>
      </c>
      <c r="I26" s="271" t="s">
        <v>31</v>
      </c>
    </row>
    <row r="27" spans="1:9" ht="26.25" customHeight="1">
      <c r="A27" s="265">
        <v>5</v>
      </c>
      <c r="B27" s="265">
        <v>1</v>
      </c>
      <c r="C27" s="265">
        <v>4</v>
      </c>
      <c r="D27" s="258">
        <v>7</v>
      </c>
      <c r="E27" s="251" t="s">
        <v>53</v>
      </c>
      <c r="F27" s="328" t="s">
        <v>910</v>
      </c>
      <c r="G27" s="253">
        <v>1250000</v>
      </c>
      <c r="H27" s="246" t="s">
        <v>361</v>
      </c>
      <c r="I27" s="252" t="s">
        <v>933</v>
      </c>
    </row>
    <row r="28" spans="1:9" ht="26.25" customHeight="1">
      <c r="A28" s="265">
        <v>5</v>
      </c>
      <c r="B28" s="265">
        <v>1</v>
      </c>
      <c r="C28" s="265">
        <v>4</v>
      </c>
      <c r="D28" s="258">
        <v>8</v>
      </c>
      <c r="E28" s="250" t="s">
        <v>48</v>
      </c>
      <c r="F28" s="329" t="s">
        <v>910</v>
      </c>
      <c r="G28" s="268">
        <v>4200000</v>
      </c>
      <c r="H28" s="246" t="s">
        <v>361</v>
      </c>
      <c r="I28" s="267" t="s">
        <v>914</v>
      </c>
    </row>
    <row r="29" spans="1:9" ht="26.25" customHeight="1">
      <c r="A29" s="265">
        <v>5</v>
      </c>
      <c r="B29" s="265">
        <v>1</v>
      </c>
      <c r="C29" s="265">
        <v>4</v>
      </c>
      <c r="D29" s="258">
        <v>92</v>
      </c>
      <c r="E29" s="250" t="s">
        <v>310</v>
      </c>
      <c r="F29" s="329" t="s">
        <v>910</v>
      </c>
      <c r="G29" s="272">
        <v>3410000</v>
      </c>
      <c r="H29" s="246" t="s">
        <v>361</v>
      </c>
      <c r="I29" s="271" t="s">
        <v>31</v>
      </c>
    </row>
    <row r="30" spans="1:9" ht="24" customHeight="1">
      <c r="A30" s="260">
        <v>5</v>
      </c>
      <c r="B30" s="260">
        <v>1</v>
      </c>
      <c r="C30" s="260">
        <v>5</v>
      </c>
      <c r="D30" s="260"/>
      <c r="E30" s="256" t="s">
        <v>17</v>
      </c>
      <c r="F30" s="334"/>
      <c r="G30" s="275">
        <f>SUM(G31:G32)</f>
        <v>16175000</v>
      </c>
      <c r="H30" s="256"/>
      <c r="I30" s="274"/>
    </row>
    <row r="31" spans="1:9" ht="39" customHeight="1">
      <c r="A31" s="258">
        <v>5</v>
      </c>
      <c r="B31" s="258">
        <v>1</v>
      </c>
      <c r="C31" s="258">
        <v>5</v>
      </c>
      <c r="D31" s="258">
        <v>93</v>
      </c>
      <c r="E31" s="246" t="s">
        <v>312</v>
      </c>
      <c r="F31" s="328" t="s">
        <v>910</v>
      </c>
      <c r="G31" s="283">
        <v>5700000</v>
      </c>
      <c r="H31" s="246" t="s">
        <v>361</v>
      </c>
      <c r="I31" s="282" t="s">
        <v>46</v>
      </c>
    </row>
    <row r="32" spans="1:9" s="335" customFormat="1" ht="24" customHeight="1">
      <c r="A32" s="258">
        <v>5</v>
      </c>
      <c r="B32" s="258">
        <v>1</v>
      </c>
      <c r="C32" s="258">
        <v>5</v>
      </c>
      <c r="D32" s="258">
        <v>94</v>
      </c>
      <c r="E32" s="250" t="s">
        <v>51</v>
      </c>
      <c r="F32" s="329" t="s">
        <v>910</v>
      </c>
      <c r="G32" s="253">
        <v>10475000</v>
      </c>
      <c r="H32" s="246" t="s">
        <v>361</v>
      </c>
      <c r="I32" s="252" t="s">
        <v>46</v>
      </c>
    </row>
    <row r="33" spans="1:9" ht="28.5" customHeight="1">
      <c r="A33" s="276">
        <v>5</v>
      </c>
      <c r="B33" s="276">
        <v>2</v>
      </c>
      <c r="C33" s="276"/>
      <c r="D33" s="276"/>
      <c r="E33" s="277" t="s">
        <v>19</v>
      </c>
      <c r="F33" s="336"/>
      <c r="G33" s="279">
        <f>G34+G37+G46+G50+G52+G54</f>
        <v>869250302</v>
      </c>
      <c r="H33" s="277"/>
      <c r="I33" s="278"/>
    </row>
    <row r="34" spans="1:9" ht="21.75" customHeight="1">
      <c r="A34" s="260">
        <v>5</v>
      </c>
      <c r="B34" s="260">
        <v>2</v>
      </c>
      <c r="C34" s="260">
        <v>1</v>
      </c>
      <c r="D34" s="260"/>
      <c r="E34" s="256" t="s">
        <v>20</v>
      </c>
      <c r="F34" s="334"/>
      <c r="G34" s="244">
        <f>SUM(G35:G36)</f>
        <v>29025000</v>
      </c>
      <c r="H34" s="256"/>
      <c r="I34" s="243"/>
    </row>
    <row r="35" spans="1:9" ht="21.75" customHeight="1">
      <c r="A35" s="258">
        <v>5</v>
      </c>
      <c r="B35" s="258">
        <v>2</v>
      </c>
      <c r="C35" s="258">
        <v>1</v>
      </c>
      <c r="D35" s="258">
        <v>1</v>
      </c>
      <c r="E35" s="250" t="s">
        <v>54</v>
      </c>
      <c r="F35" s="329" t="s">
        <v>910</v>
      </c>
      <c r="G35" s="280">
        <v>23300000</v>
      </c>
      <c r="H35" s="246" t="s">
        <v>361</v>
      </c>
      <c r="I35" s="255" t="s">
        <v>914</v>
      </c>
    </row>
    <row r="36" spans="1:9" ht="21.75" customHeight="1">
      <c r="A36" s="258">
        <v>5</v>
      </c>
      <c r="B36" s="258">
        <v>2</v>
      </c>
      <c r="C36" s="258">
        <v>1</v>
      </c>
      <c r="D36" s="258">
        <v>8</v>
      </c>
      <c r="E36" s="250" t="s">
        <v>56</v>
      </c>
      <c r="F36" s="329" t="s">
        <v>910</v>
      </c>
      <c r="G36" s="259">
        <v>5725000</v>
      </c>
      <c r="H36" s="246" t="s">
        <v>361</v>
      </c>
      <c r="I36" s="255" t="s">
        <v>914</v>
      </c>
    </row>
    <row r="37" spans="1:9" s="321" customFormat="1" ht="21.75" customHeight="1">
      <c r="A37" s="260">
        <v>5</v>
      </c>
      <c r="B37" s="260">
        <v>2</v>
      </c>
      <c r="C37" s="260">
        <v>2</v>
      </c>
      <c r="D37" s="260"/>
      <c r="E37" s="256" t="s">
        <v>22</v>
      </c>
      <c r="F37" s="334"/>
      <c r="G37" s="244">
        <f>SUM(G38:G45)</f>
        <v>169260000</v>
      </c>
      <c r="H37" s="256"/>
      <c r="I37" s="243"/>
    </row>
    <row r="38" spans="1:9" s="321" customFormat="1" ht="32.25" customHeight="1">
      <c r="A38" s="258">
        <v>5</v>
      </c>
      <c r="B38" s="258">
        <v>2</v>
      </c>
      <c r="C38" s="258">
        <v>2</v>
      </c>
      <c r="D38" s="258">
        <v>1</v>
      </c>
      <c r="E38" s="246" t="s">
        <v>126</v>
      </c>
      <c r="F38" s="328" t="s">
        <v>910</v>
      </c>
      <c r="G38" s="259">
        <v>56120000</v>
      </c>
      <c r="H38" s="246" t="s">
        <v>361</v>
      </c>
      <c r="I38" s="255" t="s">
        <v>914</v>
      </c>
    </row>
    <row r="39" spans="1:9" ht="32.25" customHeight="1">
      <c r="A39" s="258">
        <v>5</v>
      </c>
      <c r="B39" s="258">
        <v>2</v>
      </c>
      <c r="C39" s="258">
        <v>2</v>
      </c>
      <c r="D39" s="258">
        <v>3</v>
      </c>
      <c r="E39" s="251" t="s">
        <v>313</v>
      </c>
      <c r="F39" s="328" t="s">
        <v>910</v>
      </c>
      <c r="G39" s="259">
        <v>10000000</v>
      </c>
      <c r="H39" s="246" t="s">
        <v>361</v>
      </c>
      <c r="I39" s="255" t="s">
        <v>914</v>
      </c>
    </row>
    <row r="40" spans="1:9" ht="21.75" customHeight="1">
      <c r="A40" s="258">
        <v>5</v>
      </c>
      <c r="B40" s="258">
        <v>2</v>
      </c>
      <c r="C40" s="258">
        <v>2</v>
      </c>
      <c r="D40" s="258">
        <v>4</v>
      </c>
      <c r="E40" s="250" t="s">
        <v>24</v>
      </c>
      <c r="F40" s="329" t="s">
        <v>910</v>
      </c>
      <c r="G40" s="259">
        <v>21580000</v>
      </c>
      <c r="H40" s="246" t="s">
        <v>361</v>
      </c>
      <c r="I40" s="255" t="s">
        <v>914</v>
      </c>
    </row>
    <row r="41" spans="1:9" s="335" customFormat="1" ht="30" customHeight="1">
      <c r="A41" s="258">
        <v>5</v>
      </c>
      <c r="B41" s="258">
        <v>2</v>
      </c>
      <c r="C41" s="258">
        <v>2</v>
      </c>
      <c r="D41" s="258">
        <v>9</v>
      </c>
      <c r="E41" s="251" t="s">
        <v>130</v>
      </c>
      <c r="F41" s="329" t="s">
        <v>910</v>
      </c>
      <c r="G41" s="259">
        <v>6300000</v>
      </c>
      <c r="H41" s="246" t="s">
        <v>361</v>
      </c>
      <c r="I41" s="255" t="s">
        <v>914</v>
      </c>
    </row>
    <row r="42" spans="1:9" s="321" customFormat="1" ht="21.75" customHeight="1">
      <c r="A42" s="258">
        <v>5</v>
      </c>
      <c r="B42" s="258">
        <v>2</v>
      </c>
      <c r="C42" s="258">
        <v>2</v>
      </c>
      <c r="D42" s="258">
        <v>90</v>
      </c>
      <c r="E42" s="250" t="s">
        <v>131</v>
      </c>
      <c r="F42" s="329" t="s">
        <v>910</v>
      </c>
      <c r="G42" s="259">
        <v>3500000</v>
      </c>
      <c r="H42" s="246" t="s">
        <v>361</v>
      </c>
      <c r="I42" s="255" t="s">
        <v>914</v>
      </c>
    </row>
    <row r="43" spans="1:9" s="321" customFormat="1" ht="21.75" customHeight="1">
      <c r="A43" s="258">
        <v>5</v>
      </c>
      <c r="B43" s="258">
        <v>2</v>
      </c>
      <c r="C43" s="258">
        <v>2</v>
      </c>
      <c r="D43" s="258">
        <v>91</v>
      </c>
      <c r="E43" s="250" t="s">
        <v>132</v>
      </c>
      <c r="F43" s="329" t="s">
        <v>910</v>
      </c>
      <c r="G43" s="259">
        <v>4800000</v>
      </c>
      <c r="H43" s="246" t="s">
        <v>361</v>
      </c>
      <c r="I43" s="255" t="s">
        <v>914</v>
      </c>
    </row>
    <row r="44" spans="1:9" s="321" customFormat="1" ht="21.75" customHeight="1">
      <c r="A44" s="258">
        <v>5</v>
      </c>
      <c r="B44" s="258">
        <v>2</v>
      </c>
      <c r="C44" s="258">
        <v>2</v>
      </c>
      <c r="D44" s="258">
        <v>94</v>
      </c>
      <c r="E44" s="251" t="s">
        <v>57</v>
      </c>
      <c r="F44" s="328" t="s">
        <v>910</v>
      </c>
      <c r="G44" s="259">
        <v>14040000</v>
      </c>
      <c r="H44" s="246" t="s">
        <v>361</v>
      </c>
      <c r="I44" s="255" t="s">
        <v>914</v>
      </c>
    </row>
    <row r="45" spans="1:9" ht="21.75" customHeight="1">
      <c r="A45" s="258">
        <v>5</v>
      </c>
      <c r="B45" s="258">
        <v>2</v>
      </c>
      <c r="C45" s="258">
        <v>2</v>
      </c>
      <c r="D45" s="258">
        <v>98</v>
      </c>
      <c r="E45" s="250" t="s">
        <v>314</v>
      </c>
      <c r="F45" s="329" t="s">
        <v>910</v>
      </c>
      <c r="G45" s="253">
        <v>52920000</v>
      </c>
      <c r="H45" s="246" t="s">
        <v>361</v>
      </c>
      <c r="I45" s="252" t="s">
        <v>914</v>
      </c>
    </row>
    <row r="46" spans="1:9" s="321" customFormat="1" ht="24" customHeight="1">
      <c r="A46" s="260">
        <v>5</v>
      </c>
      <c r="B46" s="260">
        <v>2</v>
      </c>
      <c r="C46" s="260">
        <v>3</v>
      </c>
      <c r="D46" s="260"/>
      <c r="E46" s="256" t="s">
        <v>25</v>
      </c>
      <c r="F46" s="334"/>
      <c r="G46" s="244">
        <f>SUM(G47:G49)</f>
        <v>550218302</v>
      </c>
      <c r="H46" s="256"/>
      <c r="I46" s="243"/>
    </row>
    <row r="47" spans="1:9" s="337" customFormat="1" ht="31.5" customHeight="1">
      <c r="A47" s="258">
        <v>5</v>
      </c>
      <c r="B47" s="258">
        <v>2</v>
      </c>
      <c r="C47" s="258">
        <v>3</v>
      </c>
      <c r="D47" s="258">
        <v>10</v>
      </c>
      <c r="E47" s="246" t="s">
        <v>315</v>
      </c>
      <c r="F47" s="328" t="s">
        <v>910</v>
      </c>
      <c r="G47" s="255">
        <v>270778302</v>
      </c>
      <c r="H47" s="246" t="s">
        <v>361</v>
      </c>
      <c r="I47" s="255" t="s">
        <v>934</v>
      </c>
    </row>
    <row r="48" spans="1:9" s="321" customFormat="1" ht="42" customHeight="1">
      <c r="A48" s="258">
        <v>5</v>
      </c>
      <c r="B48" s="258">
        <v>2</v>
      </c>
      <c r="C48" s="258">
        <v>3</v>
      </c>
      <c r="D48" s="258">
        <v>14</v>
      </c>
      <c r="E48" s="246" t="s">
        <v>316</v>
      </c>
      <c r="F48" s="328" t="s">
        <v>910</v>
      </c>
      <c r="G48" s="283">
        <v>234440000</v>
      </c>
      <c r="H48" s="246" t="s">
        <v>361</v>
      </c>
      <c r="I48" s="282" t="s">
        <v>914</v>
      </c>
    </row>
    <row r="49" spans="1:9" ht="33" customHeight="1">
      <c r="A49" s="258">
        <v>5</v>
      </c>
      <c r="B49" s="258">
        <v>2</v>
      </c>
      <c r="C49" s="258">
        <v>3</v>
      </c>
      <c r="D49" s="258">
        <v>15</v>
      </c>
      <c r="E49" s="246" t="s">
        <v>144</v>
      </c>
      <c r="F49" s="328" t="s">
        <v>910</v>
      </c>
      <c r="G49" s="253">
        <v>45000000</v>
      </c>
      <c r="H49" s="246" t="s">
        <v>361</v>
      </c>
      <c r="I49" s="252" t="s">
        <v>400</v>
      </c>
    </row>
    <row r="50" spans="1:9" ht="27" customHeight="1">
      <c r="A50" s="260">
        <v>5</v>
      </c>
      <c r="B50" s="260">
        <v>2</v>
      </c>
      <c r="C50" s="260">
        <v>4</v>
      </c>
      <c r="D50" s="260"/>
      <c r="E50" s="289" t="s">
        <v>146</v>
      </c>
      <c r="F50" s="334"/>
      <c r="G50" s="290">
        <f>SUM(G51:G51)</f>
        <v>67697000</v>
      </c>
      <c r="H50" s="289"/>
      <c r="I50" s="243"/>
    </row>
    <row r="51" spans="1:9" ht="27" customHeight="1">
      <c r="A51" s="258">
        <v>5</v>
      </c>
      <c r="B51" s="258">
        <v>2</v>
      </c>
      <c r="C51" s="258">
        <v>4</v>
      </c>
      <c r="D51" s="258">
        <v>91</v>
      </c>
      <c r="E51" s="250" t="s">
        <v>317</v>
      </c>
      <c r="F51" s="329" t="s">
        <v>910</v>
      </c>
      <c r="G51" s="253">
        <v>67697000</v>
      </c>
      <c r="H51" s="246" t="s">
        <v>361</v>
      </c>
      <c r="I51" s="252" t="s">
        <v>914</v>
      </c>
    </row>
    <row r="52" spans="1:9" ht="27" customHeight="1">
      <c r="A52" s="260">
        <v>5</v>
      </c>
      <c r="B52" s="260">
        <v>2</v>
      </c>
      <c r="C52" s="260">
        <v>6</v>
      </c>
      <c r="D52" s="260"/>
      <c r="E52" s="291" t="s">
        <v>154</v>
      </c>
      <c r="F52" s="330"/>
      <c r="G52" s="293">
        <f>SUM(G53)</f>
        <v>8050000</v>
      </c>
      <c r="H52" s="291"/>
      <c r="I52" s="292"/>
    </row>
    <row r="53" spans="1:9" s="321" customFormat="1" ht="36.75" customHeight="1">
      <c r="A53" s="258">
        <v>5</v>
      </c>
      <c r="B53" s="258">
        <v>2</v>
      </c>
      <c r="C53" s="258">
        <v>6</v>
      </c>
      <c r="D53" s="258">
        <v>2</v>
      </c>
      <c r="E53" s="246" t="s">
        <v>318</v>
      </c>
      <c r="F53" s="328" t="s">
        <v>910</v>
      </c>
      <c r="G53" s="248">
        <v>8050000</v>
      </c>
      <c r="H53" s="246" t="s">
        <v>361</v>
      </c>
      <c r="I53" s="247" t="s">
        <v>914</v>
      </c>
    </row>
    <row r="54" spans="1:9" ht="27" customHeight="1">
      <c r="A54" s="260">
        <v>5</v>
      </c>
      <c r="B54" s="260">
        <v>2</v>
      </c>
      <c r="C54" s="260">
        <v>8</v>
      </c>
      <c r="D54" s="260"/>
      <c r="E54" s="289" t="s">
        <v>29</v>
      </c>
      <c r="F54" s="334"/>
      <c r="G54" s="290">
        <f>SUM(G55:G55)</f>
        <v>45000000</v>
      </c>
      <c r="H54" s="289"/>
      <c r="I54" s="243"/>
    </row>
    <row r="55" spans="1:9" ht="27" customHeight="1">
      <c r="A55" s="258">
        <v>5</v>
      </c>
      <c r="B55" s="258">
        <v>2</v>
      </c>
      <c r="C55" s="258">
        <v>8</v>
      </c>
      <c r="D55" s="258">
        <v>3</v>
      </c>
      <c r="E55" s="294" t="s">
        <v>160</v>
      </c>
      <c r="F55" s="329" t="s">
        <v>910</v>
      </c>
      <c r="G55" s="248">
        <v>45000000</v>
      </c>
      <c r="H55" s="246" t="s">
        <v>361</v>
      </c>
      <c r="I55" s="247" t="s">
        <v>914</v>
      </c>
    </row>
    <row r="56" spans="1:9" s="321" customFormat="1" ht="27" customHeight="1">
      <c r="A56" s="295">
        <v>5</v>
      </c>
      <c r="B56" s="295">
        <v>3</v>
      </c>
      <c r="C56" s="295"/>
      <c r="D56" s="295"/>
      <c r="E56" s="234" t="s">
        <v>163</v>
      </c>
      <c r="F56" s="325"/>
      <c r="G56" s="236">
        <f>G57+G59</f>
        <v>5427500</v>
      </c>
      <c r="H56" s="234"/>
      <c r="I56" s="235"/>
    </row>
    <row r="57" spans="1:9" s="321" customFormat="1" ht="27" customHeight="1">
      <c r="A57" s="260">
        <v>5</v>
      </c>
      <c r="B57" s="260">
        <v>3</v>
      </c>
      <c r="C57" s="260">
        <v>3</v>
      </c>
      <c r="D57" s="260"/>
      <c r="E57" s="296" t="s">
        <v>182</v>
      </c>
      <c r="F57" s="327"/>
      <c r="G57" s="293">
        <f>SUM(G58:G58)</f>
        <v>902500</v>
      </c>
      <c r="H57" s="296"/>
      <c r="I57" s="292"/>
    </row>
    <row r="58" spans="1:9" s="335" customFormat="1" ht="27" customHeight="1">
      <c r="A58" s="258">
        <v>5</v>
      </c>
      <c r="B58" s="258">
        <v>3</v>
      </c>
      <c r="C58" s="258">
        <v>3</v>
      </c>
      <c r="D58" s="258">
        <v>93</v>
      </c>
      <c r="E58" s="250" t="s">
        <v>45</v>
      </c>
      <c r="F58" s="329" t="s">
        <v>910</v>
      </c>
      <c r="G58" s="259">
        <v>902500</v>
      </c>
      <c r="H58" s="246" t="s">
        <v>361</v>
      </c>
      <c r="I58" s="255" t="s">
        <v>31</v>
      </c>
    </row>
    <row r="59" spans="1:9" ht="27" customHeight="1">
      <c r="A59" s="260">
        <v>5</v>
      </c>
      <c r="B59" s="260">
        <v>3</v>
      </c>
      <c r="C59" s="260">
        <v>4</v>
      </c>
      <c r="D59" s="260"/>
      <c r="E59" s="296" t="s">
        <v>193</v>
      </c>
      <c r="F59" s="327"/>
      <c r="G59" s="293">
        <f>SUM(G60:G62)</f>
        <v>4525000</v>
      </c>
      <c r="H59" s="296"/>
      <c r="I59" s="292"/>
    </row>
    <row r="60" spans="1:9" s="321" customFormat="1" ht="36.75" customHeight="1">
      <c r="A60" s="258">
        <v>5</v>
      </c>
      <c r="B60" s="258">
        <v>3</v>
      </c>
      <c r="C60" s="258">
        <v>4</v>
      </c>
      <c r="D60" s="258">
        <v>92</v>
      </c>
      <c r="E60" s="246" t="s">
        <v>194</v>
      </c>
      <c r="F60" s="328" t="s">
        <v>910</v>
      </c>
      <c r="G60" s="255">
        <v>1720000</v>
      </c>
      <c r="H60" s="246" t="s">
        <v>361</v>
      </c>
      <c r="I60" s="255" t="s">
        <v>31</v>
      </c>
    </row>
    <row r="61" spans="1:9" s="321" customFormat="1" ht="27" customHeight="1">
      <c r="A61" s="258">
        <v>5</v>
      </c>
      <c r="B61" s="258">
        <v>3</v>
      </c>
      <c r="C61" s="258">
        <v>4</v>
      </c>
      <c r="D61" s="258">
        <v>95</v>
      </c>
      <c r="E61" s="250" t="s">
        <v>44</v>
      </c>
      <c r="F61" s="329" t="s">
        <v>910</v>
      </c>
      <c r="G61" s="259">
        <v>1355000</v>
      </c>
      <c r="H61" s="246" t="s">
        <v>361</v>
      </c>
      <c r="I61" s="255" t="s">
        <v>31</v>
      </c>
    </row>
    <row r="62" spans="1:9" ht="27" customHeight="1">
      <c r="A62" s="258">
        <v>5</v>
      </c>
      <c r="B62" s="258">
        <v>3</v>
      </c>
      <c r="C62" s="258">
        <v>4</v>
      </c>
      <c r="D62" s="258">
        <v>96</v>
      </c>
      <c r="E62" s="250" t="s">
        <v>43</v>
      </c>
      <c r="F62" s="329" t="s">
        <v>910</v>
      </c>
      <c r="G62" s="259">
        <v>1450000</v>
      </c>
      <c r="H62" s="246" t="s">
        <v>361</v>
      </c>
      <c r="I62" s="255" t="s">
        <v>31</v>
      </c>
    </row>
    <row r="63" spans="1:9" ht="27" customHeight="1">
      <c r="A63" s="295">
        <v>5</v>
      </c>
      <c r="B63" s="295">
        <v>4</v>
      </c>
      <c r="C63" s="295"/>
      <c r="D63" s="295"/>
      <c r="E63" s="234" t="s">
        <v>198</v>
      </c>
      <c r="F63" s="325"/>
      <c r="G63" s="236">
        <f>G64+G67+G70+G74+G76</f>
        <v>41092500</v>
      </c>
      <c r="H63" s="234"/>
      <c r="I63" s="235"/>
    </row>
    <row r="64" spans="1:9" s="321" customFormat="1" ht="27" customHeight="1">
      <c r="A64" s="260">
        <v>5</v>
      </c>
      <c r="B64" s="260">
        <v>4</v>
      </c>
      <c r="C64" s="260">
        <v>2</v>
      </c>
      <c r="D64" s="260"/>
      <c r="E64" s="296" t="s">
        <v>200</v>
      </c>
      <c r="F64" s="327"/>
      <c r="G64" s="293">
        <f>SUM(G65:G66)</f>
        <v>9650000</v>
      </c>
      <c r="H64" s="296"/>
      <c r="I64" s="292"/>
    </row>
    <row r="65" spans="1:9" ht="39.75" customHeight="1">
      <c r="A65" s="258">
        <v>5</v>
      </c>
      <c r="B65" s="258">
        <v>4</v>
      </c>
      <c r="C65" s="258">
        <v>2</v>
      </c>
      <c r="D65" s="258">
        <v>5</v>
      </c>
      <c r="E65" s="246" t="s">
        <v>324</v>
      </c>
      <c r="F65" s="328" t="s">
        <v>910</v>
      </c>
      <c r="G65" s="253">
        <v>4825000</v>
      </c>
      <c r="H65" s="246" t="s">
        <v>361</v>
      </c>
      <c r="I65" s="252" t="s">
        <v>914</v>
      </c>
    </row>
    <row r="66" spans="1:9" ht="27" customHeight="1">
      <c r="A66" s="258">
        <v>5</v>
      </c>
      <c r="B66" s="258">
        <v>4</v>
      </c>
      <c r="C66" s="258">
        <v>2</v>
      </c>
      <c r="D66" s="258">
        <v>92</v>
      </c>
      <c r="E66" s="246" t="s">
        <v>203</v>
      </c>
      <c r="F66" s="328" t="s">
        <v>910</v>
      </c>
      <c r="G66" s="253">
        <v>4825000</v>
      </c>
      <c r="H66" s="246" t="s">
        <v>361</v>
      </c>
      <c r="I66" s="252" t="s">
        <v>914</v>
      </c>
    </row>
    <row r="67" spans="1:9" ht="27" customHeight="1">
      <c r="A67" s="260">
        <v>5</v>
      </c>
      <c r="B67" s="260">
        <v>4</v>
      </c>
      <c r="C67" s="260">
        <v>3</v>
      </c>
      <c r="D67" s="260"/>
      <c r="E67" s="261" t="s">
        <v>206</v>
      </c>
      <c r="F67" s="330"/>
      <c r="G67" s="303">
        <f>SUM(G68:G69)</f>
        <v>8792500</v>
      </c>
      <c r="H67" s="261"/>
      <c r="I67" s="302"/>
    </row>
    <row r="68" spans="1:9" ht="27" customHeight="1">
      <c r="A68" s="258">
        <v>5</v>
      </c>
      <c r="B68" s="258">
        <v>4</v>
      </c>
      <c r="C68" s="258">
        <v>3</v>
      </c>
      <c r="D68" s="258">
        <v>2</v>
      </c>
      <c r="E68" s="246" t="s">
        <v>207</v>
      </c>
      <c r="F68" s="328" t="s">
        <v>910</v>
      </c>
      <c r="G68" s="253">
        <v>6550000</v>
      </c>
      <c r="H68" s="246" t="s">
        <v>361</v>
      </c>
      <c r="I68" s="252" t="s">
        <v>914</v>
      </c>
    </row>
    <row r="69" spans="1:9" ht="27" customHeight="1">
      <c r="A69" s="258">
        <v>5</v>
      </c>
      <c r="B69" s="258">
        <v>4</v>
      </c>
      <c r="C69" s="258">
        <v>3</v>
      </c>
      <c r="D69" s="258">
        <v>3</v>
      </c>
      <c r="E69" s="246" t="s">
        <v>208</v>
      </c>
      <c r="F69" s="328" t="s">
        <v>910</v>
      </c>
      <c r="G69" s="253">
        <v>2242500</v>
      </c>
      <c r="H69" s="246" t="s">
        <v>361</v>
      </c>
      <c r="I69" s="252" t="s">
        <v>914</v>
      </c>
    </row>
    <row r="70" spans="1:9" ht="33.75" customHeight="1">
      <c r="A70" s="260">
        <v>5</v>
      </c>
      <c r="B70" s="260">
        <v>4</v>
      </c>
      <c r="C70" s="260">
        <v>4</v>
      </c>
      <c r="D70" s="260"/>
      <c r="E70" s="296" t="s">
        <v>210</v>
      </c>
      <c r="F70" s="327"/>
      <c r="G70" s="293">
        <f>SUM(G71:G73)</f>
        <v>12130000</v>
      </c>
      <c r="H70" s="296"/>
      <c r="I70" s="292"/>
    </row>
    <row r="71" spans="1:9" ht="27" customHeight="1">
      <c r="A71" s="258">
        <v>5</v>
      </c>
      <c r="B71" s="258">
        <v>4</v>
      </c>
      <c r="C71" s="258">
        <v>4</v>
      </c>
      <c r="D71" s="258">
        <v>90</v>
      </c>
      <c r="E71" s="246" t="s">
        <v>327</v>
      </c>
      <c r="F71" s="328" t="s">
        <v>910</v>
      </c>
      <c r="G71" s="253">
        <v>4750000</v>
      </c>
      <c r="H71" s="246" t="s">
        <v>361</v>
      </c>
      <c r="I71" s="252" t="s">
        <v>914</v>
      </c>
    </row>
    <row r="72" spans="1:9" ht="28.5" customHeight="1">
      <c r="A72" s="258">
        <v>5</v>
      </c>
      <c r="B72" s="258">
        <v>4</v>
      </c>
      <c r="C72" s="258">
        <v>4</v>
      </c>
      <c r="D72" s="258">
        <v>92</v>
      </c>
      <c r="E72" s="246" t="s">
        <v>214</v>
      </c>
      <c r="F72" s="328" t="s">
        <v>910</v>
      </c>
      <c r="G72" s="253">
        <v>3685000</v>
      </c>
      <c r="H72" s="246" t="s">
        <v>361</v>
      </c>
      <c r="I72" s="252" t="s">
        <v>914</v>
      </c>
    </row>
    <row r="73" spans="1:9" ht="29.25" customHeight="1">
      <c r="A73" s="258">
        <v>5</v>
      </c>
      <c r="B73" s="258">
        <v>4</v>
      </c>
      <c r="C73" s="258">
        <v>4</v>
      </c>
      <c r="D73" s="258">
        <v>99</v>
      </c>
      <c r="E73" s="246" t="s">
        <v>328</v>
      </c>
      <c r="F73" s="328" t="s">
        <v>910</v>
      </c>
      <c r="G73" s="253">
        <v>3695000</v>
      </c>
      <c r="H73" s="246" t="s">
        <v>361</v>
      </c>
      <c r="I73" s="252" t="s">
        <v>914</v>
      </c>
    </row>
    <row r="74" spans="1:9" ht="24" customHeight="1">
      <c r="A74" s="260">
        <v>5</v>
      </c>
      <c r="B74" s="260">
        <v>4</v>
      </c>
      <c r="C74" s="260">
        <v>6</v>
      </c>
      <c r="D74" s="260"/>
      <c r="E74" s="296" t="s">
        <v>217</v>
      </c>
      <c r="F74" s="327"/>
      <c r="G74" s="293">
        <f>SUM(G75:G75)</f>
        <v>3610000</v>
      </c>
      <c r="H74" s="296"/>
      <c r="I74" s="292"/>
    </row>
    <row r="75" spans="1:9" ht="24" customHeight="1">
      <c r="A75" s="258">
        <v>5</v>
      </c>
      <c r="B75" s="258">
        <v>4</v>
      </c>
      <c r="C75" s="258">
        <v>6</v>
      </c>
      <c r="D75" s="258">
        <v>1</v>
      </c>
      <c r="E75" s="250" t="s">
        <v>329</v>
      </c>
      <c r="F75" s="329" t="s">
        <v>910</v>
      </c>
      <c r="G75" s="248">
        <v>3610000</v>
      </c>
      <c r="H75" s="246" t="s">
        <v>361</v>
      </c>
      <c r="I75" s="247" t="s">
        <v>914</v>
      </c>
    </row>
    <row r="76" spans="1:9" ht="24" customHeight="1">
      <c r="A76" s="260">
        <v>5</v>
      </c>
      <c r="B76" s="260">
        <v>4</v>
      </c>
      <c r="C76" s="260">
        <v>7</v>
      </c>
      <c r="D76" s="260"/>
      <c r="E76" s="296" t="s">
        <v>331</v>
      </c>
      <c r="F76" s="327"/>
      <c r="G76" s="293">
        <f>SUM(G77:G77)</f>
        <v>6910000</v>
      </c>
      <c r="H76" s="296"/>
      <c r="I76" s="292"/>
    </row>
    <row r="77" spans="1:9" ht="36" customHeight="1">
      <c r="A77" s="258">
        <v>5</v>
      </c>
      <c r="B77" s="258">
        <v>4</v>
      </c>
      <c r="C77" s="258">
        <v>7</v>
      </c>
      <c r="D77" s="258">
        <v>1</v>
      </c>
      <c r="E77" s="251" t="s">
        <v>332</v>
      </c>
      <c r="F77" s="329" t="s">
        <v>910</v>
      </c>
      <c r="G77" s="248">
        <v>6910000</v>
      </c>
      <c r="H77" s="246" t="s">
        <v>361</v>
      </c>
      <c r="I77" s="247" t="s">
        <v>914</v>
      </c>
    </row>
    <row r="78" spans="1:9" ht="39.75" customHeight="1">
      <c r="A78" s="295">
        <v>5</v>
      </c>
      <c r="B78" s="295">
        <v>5</v>
      </c>
      <c r="C78" s="295"/>
      <c r="D78" s="295"/>
      <c r="E78" s="304" t="s">
        <v>219</v>
      </c>
      <c r="F78" s="338"/>
      <c r="G78" s="306">
        <f>G79+G81+G83</f>
        <v>453933000</v>
      </c>
      <c r="H78" s="304"/>
      <c r="I78" s="305"/>
    </row>
    <row r="79" spans="1:9" ht="24" customHeight="1">
      <c r="A79" s="260">
        <v>5</v>
      </c>
      <c r="B79" s="260">
        <v>5</v>
      </c>
      <c r="C79" s="260">
        <v>1</v>
      </c>
      <c r="D79" s="260"/>
      <c r="E79" s="256" t="s">
        <v>220</v>
      </c>
      <c r="F79" s="334"/>
      <c r="G79" s="244">
        <f>SUM(G80)</f>
        <v>91233000</v>
      </c>
      <c r="H79" s="256"/>
      <c r="I79" s="243"/>
    </row>
    <row r="80" spans="1:9" ht="24" customHeight="1">
      <c r="A80" s="258">
        <v>5</v>
      </c>
      <c r="B80" s="258">
        <v>5</v>
      </c>
      <c r="C80" s="258">
        <v>1</v>
      </c>
      <c r="D80" s="258">
        <v>1</v>
      </c>
      <c r="E80" s="250" t="s">
        <v>221</v>
      </c>
      <c r="F80" s="329" t="s">
        <v>910</v>
      </c>
      <c r="G80" s="253">
        <v>91233000</v>
      </c>
      <c r="H80" s="246" t="s">
        <v>361</v>
      </c>
      <c r="I80" s="252" t="s">
        <v>914</v>
      </c>
    </row>
    <row r="81" spans="1:9" ht="24" customHeight="1">
      <c r="A81" s="260">
        <v>5</v>
      </c>
      <c r="B81" s="260">
        <v>5</v>
      </c>
      <c r="C81" s="260">
        <v>2</v>
      </c>
      <c r="D81" s="260"/>
      <c r="E81" s="256" t="s">
        <v>222</v>
      </c>
      <c r="F81" s="334"/>
      <c r="G81" s="244">
        <f>SUM(G82)</f>
        <v>0</v>
      </c>
      <c r="H81" s="256"/>
      <c r="I81" s="243"/>
    </row>
    <row r="82" spans="1:9" ht="24" customHeight="1">
      <c r="A82" s="258">
        <v>5</v>
      </c>
      <c r="B82" s="258">
        <v>5</v>
      </c>
      <c r="C82" s="258">
        <v>2</v>
      </c>
      <c r="D82" s="258">
        <v>1</v>
      </c>
      <c r="E82" s="250" t="s">
        <v>223</v>
      </c>
      <c r="F82" s="329" t="s">
        <v>910</v>
      </c>
      <c r="G82" s="253"/>
      <c r="H82" s="246" t="s">
        <v>361</v>
      </c>
      <c r="I82" s="252" t="s">
        <v>914</v>
      </c>
    </row>
    <row r="83" spans="1:9" ht="24" customHeight="1">
      <c r="A83" s="260">
        <v>5</v>
      </c>
      <c r="B83" s="260">
        <v>5</v>
      </c>
      <c r="C83" s="260">
        <v>3</v>
      </c>
      <c r="D83" s="260"/>
      <c r="E83" s="256" t="s">
        <v>224</v>
      </c>
      <c r="F83" s="334"/>
      <c r="G83" s="244">
        <f>SUM(G84)</f>
        <v>362700000</v>
      </c>
      <c r="H83" s="256"/>
      <c r="I83" s="243"/>
    </row>
    <row r="84" spans="1:9" ht="24" customHeight="1">
      <c r="A84" s="258">
        <v>5</v>
      </c>
      <c r="B84" s="258">
        <v>5</v>
      </c>
      <c r="C84" s="258">
        <v>3</v>
      </c>
      <c r="D84" s="258">
        <v>1</v>
      </c>
      <c r="E84" s="250" t="s">
        <v>333</v>
      </c>
      <c r="F84" s="329" t="s">
        <v>910</v>
      </c>
      <c r="G84" s="253">
        <v>362700000</v>
      </c>
      <c r="H84" s="246" t="s">
        <v>361</v>
      </c>
      <c r="I84" s="252" t="s">
        <v>914</v>
      </c>
    </row>
    <row r="85" spans="1:9" ht="24" customHeight="1">
      <c r="A85" s="705" t="s">
        <v>334</v>
      </c>
      <c r="B85" s="705"/>
      <c r="C85" s="705"/>
      <c r="D85" s="705"/>
      <c r="E85" s="705"/>
      <c r="F85" s="339"/>
      <c r="G85" s="340">
        <f>G11</f>
        <v>2266751356</v>
      </c>
      <c r="H85" s="341"/>
      <c r="I85" s="340"/>
    </row>
    <row r="86" spans="1:9">
      <c r="A86" s="309"/>
      <c r="B86" s="309"/>
      <c r="C86" s="309"/>
      <c r="D86" s="309"/>
      <c r="E86" s="310"/>
      <c r="F86" s="309"/>
      <c r="G86" s="310"/>
      <c r="H86" s="310"/>
      <c r="I86" s="309"/>
    </row>
    <row r="87" spans="1:9">
      <c r="A87" s="312"/>
      <c r="B87" s="312"/>
      <c r="C87" s="312"/>
      <c r="D87" s="312" t="s">
        <v>335</v>
      </c>
      <c r="E87" s="312"/>
      <c r="F87" s="309"/>
      <c r="G87" s="314"/>
      <c r="H87" s="309" t="s">
        <v>935</v>
      </c>
      <c r="I87" s="309"/>
    </row>
    <row r="88" spans="1:9">
      <c r="A88" s="312"/>
      <c r="B88" s="312"/>
      <c r="C88" s="312"/>
      <c r="D88" s="312" t="s">
        <v>936</v>
      </c>
      <c r="E88" s="312"/>
      <c r="F88" s="309"/>
      <c r="G88" s="312"/>
      <c r="H88" s="309" t="s">
        <v>945</v>
      </c>
      <c r="I88" s="309"/>
    </row>
    <row r="89" spans="1:9">
      <c r="A89" s="312"/>
      <c r="B89" s="312"/>
      <c r="C89" s="312"/>
      <c r="D89" s="312"/>
      <c r="E89" s="312"/>
      <c r="F89" s="309"/>
      <c r="G89" s="309"/>
      <c r="H89" s="309"/>
      <c r="I89" s="309"/>
    </row>
    <row r="90" spans="1:9">
      <c r="A90" s="312"/>
      <c r="B90" s="312"/>
      <c r="C90" s="312"/>
      <c r="D90" s="312"/>
      <c r="E90" s="312"/>
      <c r="F90" s="309"/>
      <c r="G90" s="309"/>
      <c r="H90" s="309"/>
      <c r="I90" s="309"/>
    </row>
    <row r="91" spans="1:9">
      <c r="A91" s="312"/>
      <c r="B91" s="312"/>
      <c r="C91" s="312"/>
      <c r="D91" s="312"/>
      <c r="E91" s="312"/>
      <c r="F91" s="309"/>
      <c r="G91" s="310"/>
      <c r="H91" s="309"/>
      <c r="I91" s="309"/>
    </row>
    <row r="92" spans="1:9">
      <c r="A92" s="312"/>
      <c r="B92" s="312"/>
      <c r="C92" s="312"/>
      <c r="D92" s="312" t="s">
        <v>297</v>
      </c>
      <c r="E92" s="312"/>
      <c r="F92" s="309"/>
      <c r="G92" s="314"/>
      <c r="H92" s="309" t="s">
        <v>35</v>
      </c>
      <c r="I92" s="309"/>
    </row>
  </sheetData>
  <mergeCells count="13">
    <mergeCell ref="A10:D10"/>
    <mergeCell ref="A85:E85"/>
    <mergeCell ref="A2:I2"/>
    <mergeCell ref="A3:I3"/>
    <mergeCell ref="A1:I1"/>
    <mergeCell ref="A4:D4"/>
    <mergeCell ref="A5:D5"/>
    <mergeCell ref="A8:D9"/>
    <mergeCell ref="E8:E9"/>
    <mergeCell ref="F8:F9"/>
    <mergeCell ref="G8:G9"/>
    <mergeCell ref="H8:H9"/>
    <mergeCell ref="I8:I9"/>
  </mergeCells>
  <pageMargins left="0.70866141732283505" right="0.70866141732283505" top="0.74803149606299202" bottom="0.74803149606299202" header="0.31496062992126" footer="0.31496062992126"/>
  <pageSetup paperSize="14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view="pageBreakPreview" topLeftCell="A27" zoomScale="90" zoomScaleNormal="70" zoomScaleSheetLayoutView="90" workbookViewId="0">
      <selection activeCell="E30" sqref="E30"/>
    </sheetView>
  </sheetViews>
  <sheetFormatPr defaultRowHeight="15"/>
  <cols>
    <col min="1" max="4" width="5.140625" style="229" customWidth="1"/>
    <col min="5" max="5" width="86.85546875" style="229" customWidth="1"/>
    <col min="6" max="6" width="13.140625" style="315" bestFit="1" customWidth="1"/>
    <col min="7" max="7" width="21.140625" style="229" customWidth="1"/>
    <col min="8" max="8" width="26.7109375" style="316" customWidth="1"/>
    <col min="9" max="9" width="33.140625" style="316" customWidth="1"/>
    <col min="10" max="12" width="9.140625" style="229"/>
    <col min="13" max="13" width="46.28515625" style="229" customWidth="1"/>
    <col min="14" max="256" width="9.140625" style="229"/>
    <col min="257" max="260" width="5.140625" style="229" customWidth="1"/>
    <col min="261" max="261" width="86.85546875" style="229" customWidth="1"/>
    <col min="262" max="262" width="13.140625" style="229" bestFit="1" customWidth="1"/>
    <col min="263" max="263" width="21.140625" style="229" customWidth="1"/>
    <col min="264" max="264" width="26.7109375" style="229" customWidth="1"/>
    <col min="265" max="265" width="33.140625" style="229" customWidth="1"/>
    <col min="266" max="268" width="9.140625" style="229"/>
    <col min="269" max="269" width="46.28515625" style="229" customWidth="1"/>
    <col min="270" max="512" width="9.140625" style="229"/>
    <col min="513" max="516" width="5.140625" style="229" customWidth="1"/>
    <col min="517" max="517" width="86.85546875" style="229" customWidth="1"/>
    <col min="518" max="518" width="13.140625" style="229" bestFit="1" customWidth="1"/>
    <col min="519" max="519" width="21.140625" style="229" customWidth="1"/>
    <col min="520" max="520" width="26.7109375" style="229" customWidth="1"/>
    <col min="521" max="521" width="33.140625" style="229" customWidth="1"/>
    <col min="522" max="524" width="9.140625" style="229"/>
    <col min="525" max="525" width="46.28515625" style="229" customWidth="1"/>
    <col min="526" max="768" width="9.140625" style="229"/>
    <col min="769" max="772" width="5.140625" style="229" customWidth="1"/>
    <col min="773" max="773" width="86.85546875" style="229" customWidth="1"/>
    <col min="774" max="774" width="13.140625" style="229" bestFit="1" customWidth="1"/>
    <col min="775" max="775" width="21.140625" style="229" customWidth="1"/>
    <col min="776" max="776" width="26.7109375" style="229" customWidth="1"/>
    <col min="777" max="777" width="33.140625" style="229" customWidth="1"/>
    <col min="778" max="780" width="9.140625" style="229"/>
    <col min="781" max="781" width="46.28515625" style="229" customWidth="1"/>
    <col min="782" max="1024" width="9.140625" style="229"/>
    <col min="1025" max="1028" width="5.140625" style="229" customWidth="1"/>
    <col min="1029" max="1029" width="86.85546875" style="229" customWidth="1"/>
    <col min="1030" max="1030" width="13.140625" style="229" bestFit="1" customWidth="1"/>
    <col min="1031" max="1031" width="21.140625" style="229" customWidth="1"/>
    <col min="1032" max="1032" width="26.7109375" style="229" customWidth="1"/>
    <col min="1033" max="1033" width="33.140625" style="229" customWidth="1"/>
    <col min="1034" max="1036" width="9.140625" style="229"/>
    <col min="1037" max="1037" width="46.28515625" style="229" customWidth="1"/>
    <col min="1038" max="1280" width="9.140625" style="229"/>
    <col min="1281" max="1284" width="5.140625" style="229" customWidth="1"/>
    <col min="1285" max="1285" width="86.85546875" style="229" customWidth="1"/>
    <col min="1286" max="1286" width="13.140625" style="229" bestFit="1" customWidth="1"/>
    <col min="1287" max="1287" width="21.140625" style="229" customWidth="1"/>
    <col min="1288" max="1288" width="26.7109375" style="229" customWidth="1"/>
    <col min="1289" max="1289" width="33.140625" style="229" customWidth="1"/>
    <col min="1290" max="1292" width="9.140625" style="229"/>
    <col min="1293" max="1293" width="46.28515625" style="229" customWidth="1"/>
    <col min="1294" max="1536" width="9.140625" style="229"/>
    <col min="1537" max="1540" width="5.140625" style="229" customWidth="1"/>
    <col min="1541" max="1541" width="86.85546875" style="229" customWidth="1"/>
    <col min="1542" max="1542" width="13.140625" style="229" bestFit="1" customWidth="1"/>
    <col min="1543" max="1543" width="21.140625" style="229" customWidth="1"/>
    <col min="1544" max="1544" width="26.7109375" style="229" customWidth="1"/>
    <col min="1545" max="1545" width="33.140625" style="229" customWidth="1"/>
    <col min="1546" max="1548" width="9.140625" style="229"/>
    <col min="1549" max="1549" width="46.28515625" style="229" customWidth="1"/>
    <col min="1550" max="1792" width="9.140625" style="229"/>
    <col min="1793" max="1796" width="5.140625" style="229" customWidth="1"/>
    <col min="1797" max="1797" width="86.85546875" style="229" customWidth="1"/>
    <col min="1798" max="1798" width="13.140625" style="229" bestFit="1" customWidth="1"/>
    <col min="1799" max="1799" width="21.140625" style="229" customWidth="1"/>
    <col min="1800" max="1800" width="26.7109375" style="229" customWidth="1"/>
    <col min="1801" max="1801" width="33.140625" style="229" customWidth="1"/>
    <col min="1802" max="1804" width="9.140625" style="229"/>
    <col min="1805" max="1805" width="46.28515625" style="229" customWidth="1"/>
    <col min="1806" max="2048" width="9.140625" style="229"/>
    <col min="2049" max="2052" width="5.140625" style="229" customWidth="1"/>
    <col min="2053" max="2053" width="86.85546875" style="229" customWidth="1"/>
    <col min="2054" max="2054" width="13.140625" style="229" bestFit="1" customWidth="1"/>
    <col min="2055" max="2055" width="21.140625" style="229" customWidth="1"/>
    <col min="2056" max="2056" width="26.7109375" style="229" customWidth="1"/>
    <col min="2057" max="2057" width="33.140625" style="229" customWidth="1"/>
    <col min="2058" max="2060" width="9.140625" style="229"/>
    <col min="2061" max="2061" width="46.28515625" style="229" customWidth="1"/>
    <col min="2062" max="2304" width="9.140625" style="229"/>
    <col min="2305" max="2308" width="5.140625" style="229" customWidth="1"/>
    <col min="2309" max="2309" width="86.85546875" style="229" customWidth="1"/>
    <col min="2310" max="2310" width="13.140625" style="229" bestFit="1" customWidth="1"/>
    <col min="2311" max="2311" width="21.140625" style="229" customWidth="1"/>
    <col min="2312" max="2312" width="26.7109375" style="229" customWidth="1"/>
    <col min="2313" max="2313" width="33.140625" style="229" customWidth="1"/>
    <col min="2314" max="2316" width="9.140625" style="229"/>
    <col min="2317" max="2317" width="46.28515625" style="229" customWidth="1"/>
    <col min="2318" max="2560" width="9.140625" style="229"/>
    <col min="2561" max="2564" width="5.140625" style="229" customWidth="1"/>
    <col min="2565" max="2565" width="86.85546875" style="229" customWidth="1"/>
    <col min="2566" max="2566" width="13.140625" style="229" bestFit="1" customWidth="1"/>
    <col min="2567" max="2567" width="21.140625" style="229" customWidth="1"/>
    <col min="2568" max="2568" width="26.7109375" style="229" customWidth="1"/>
    <col min="2569" max="2569" width="33.140625" style="229" customWidth="1"/>
    <col min="2570" max="2572" width="9.140625" style="229"/>
    <col min="2573" max="2573" width="46.28515625" style="229" customWidth="1"/>
    <col min="2574" max="2816" width="9.140625" style="229"/>
    <col min="2817" max="2820" width="5.140625" style="229" customWidth="1"/>
    <col min="2821" max="2821" width="86.85546875" style="229" customWidth="1"/>
    <col min="2822" max="2822" width="13.140625" style="229" bestFit="1" customWidth="1"/>
    <col min="2823" max="2823" width="21.140625" style="229" customWidth="1"/>
    <col min="2824" max="2824" width="26.7109375" style="229" customWidth="1"/>
    <col min="2825" max="2825" width="33.140625" style="229" customWidth="1"/>
    <col min="2826" max="2828" width="9.140625" style="229"/>
    <col min="2829" max="2829" width="46.28515625" style="229" customWidth="1"/>
    <col min="2830" max="3072" width="9.140625" style="229"/>
    <col min="3073" max="3076" width="5.140625" style="229" customWidth="1"/>
    <col min="3077" max="3077" width="86.85546875" style="229" customWidth="1"/>
    <col min="3078" max="3078" width="13.140625" style="229" bestFit="1" customWidth="1"/>
    <col min="3079" max="3079" width="21.140625" style="229" customWidth="1"/>
    <col min="3080" max="3080" width="26.7109375" style="229" customWidth="1"/>
    <col min="3081" max="3081" width="33.140625" style="229" customWidth="1"/>
    <col min="3082" max="3084" width="9.140625" style="229"/>
    <col min="3085" max="3085" width="46.28515625" style="229" customWidth="1"/>
    <col min="3086" max="3328" width="9.140625" style="229"/>
    <col min="3329" max="3332" width="5.140625" style="229" customWidth="1"/>
    <col min="3333" max="3333" width="86.85546875" style="229" customWidth="1"/>
    <col min="3334" max="3334" width="13.140625" style="229" bestFit="1" customWidth="1"/>
    <col min="3335" max="3335" width="21.140625" style="229" customWidth="1"/>
    <col min="3336" max="3336" width="26.7109375" style="229" customWidth="1"/>
    <col min="3337" max="3337" width="33.140625" style="229" customWidth="1"/>
    <col min="3338" max="3340" width="9.140625" style="229"/>
    <col min="3341" max="3341" width="46.28515625" style="229" customWidth="1"/>
    <col min="3342" max="3584" width="9.140625" style="229"/>
    <col min="3585" max="3588" width="5.140625" style="229" customWidth="1"/>
    <col min="3589" max="3589" width="86.85546875" style="229" customWidth="1"/>
    <col min="3590" max="3590" width="13.140625" style="229" bestFit="1" customWidth="1"/>
    <col min="3591" max="3591" width="21.140625" style="229" customWidth="1"/>
    <col min="3592" max="3592" width="26.7109375" style="229" customWidth="1"/>
    <col min="3593" max="3593" width="33.140625" style="229" customWidth="1"/>
    <col min="3594" max="3596" width="9.140625" style="229"/>
    <col min="3597" max="3597" width="46.28515625" style="229" customWidth="1"/>
    <col min="3598" max="3840" width="9.140625" style="229"/>
    <col min="3841" max="3844" width="5.140625" style="229" customWidth="1"/>
    <col min="3845" max="3845" width="86.85546875" style="229" customWidth="1"/>
    <col min="3846" max="3846" width="13.140625" style="229" bestFit="1" customWidth="1"/>
    <col min="3847" max="3847" width="21.140625" style="229" customWidth="1"/>
    <col min="3848" max="3848" width="26.7109375" style="229" customWidth="1"/>
    <col min="3849" max="3849" width="33.140625" style="229" customWidth="1"/>
    <col min="3850" max="3852" width="9.140625" style="229"/>
    <col min="3853" max="3853" width="46.28515625" style="229" customWidth="1"/>
    <col min="3854" max="4096" width="9.140625" style="229"/>
    <col min="4097" max="4100" width="5.140625" style="229" customWidth="1"/>
    <col min="4101" max="4101" width="86.85546875" style="229" customWidth="1"/>
    <col min="4102" max="4102" width="13.140625" style="229" bestFit="1" customWidth="1"/>
    <col min="4103" max="4103" width="21.140625" style="229" customWidth="1"/>
    <col min="4104" max="4104" width="26.7109375" style="229" customWidth="1"/>
    <col min="4105" max="4105" width="33.140625" style="229" customWidth="1"/>
    <col min="4106" max="4108" width="9.140625" style="229"/>
    <col min="4109" max="4109" width="46.28515625" style="229" customWidth="1"/>
    <col min="4110" max="4352" width="9.140625" style="229"/>
    <col min="4353" max="4356" width="5.140625" style="229" customWidth="1"/>
    <col min="4357" max="4357" width="86.85546875" style="229" customWidth="1"/>
    <col min="4358" max="4358" width="13.140625" style="229" bestFit="1" customWidth="1"/>
    <col min="4359" max="4359" width="21.140625" style="229" customWidth="1"/>
    <col min="4360" max="4360" width="26.7109375" style="229" customWidth="1"/>
    <col min="4361" max="4361" width="33.140625" style="229" customWidth="1"/>
    <col min="4362" max="4364" width="9.140625" style="229"/>
    <col min="4365" max="4365" width="46.28515625" style="229" customWidth="1"/>
    <col min="4366" max="4608" width="9.140625" style="229"/>
    <col min="4609" max="4612" width="5.140625" style="229" customWidth="1"/>
    <col min="4613" max="4613" width="86.85546875" style="229" customWidth="1"/>
    <col min="4614" max="4614" width="13.140625" style="229" bestFit="1" customWidth="1"/>
    <col min="4615" max="4615" width="21.140625" style="229" customWidth="1"/>
    <col min="4616" max="4616" width="26.7109375" style="229" customWidth="1"/>
    <col min="4617" max="4617" width="33.140625" style="229" customWidth="1"/>
    <col min="4618" max="4620" width="9.140625" style="229"/>
    <col min="4621" max="4621" width="46.28515625" style="229" customWidth="1"/>
    <col min="4622" max="4864" width="9.140625" style="229"/>
    <col min="4865" max="4868" width="5.140625" style="229" customWidth="1"/>
    <col min="4869" max="4869" width="86.85546875" style="229" customWidth="1"/>
    <col min="4870" max="4870" width="13.140625" style="229" bestFit="1" customWidth="1"/>
    <col min="4871" max="4871" width="21.140625" style="229" customWidth="1"/>
    <col min="4872" max="4872" width="26.7109375" style="229" customWidth="1"/>
    <col min="4873" max="4873" width="33.140625" style="229" customWidth="1"/>
    <col min="4874" max="4876" width="9.140625" style="229"/>
    <col min="4877" max="4877" width="46.28515625" style="229" customWidth="1"/>
    <col min="4878" max="5120" width="9.140625" style="229"/>
    <col min="5121" max="5124" width="5.140625" style="229" customWidth="1"/>
    <col min="5125" max="5125" width="86.85546875" style="229" customWidth="1"/>
    <col min="5126" max="5126" width="13.140625" style="229" bestFit="1" customWidth="1"/>
    <col min="5127" max="5127" width="21.140625" style="229" customWidth="1"/>
    <col min="5128" max="5128" width="26.7109375" style="229" customWidth="1"/>
    <col min="5129" max="5129" width="33.140625" style="229" customWidth="1"/>
    <col min="5130" max="5132" width="9.140625" style="229"/>
    <col min="5133" max="5133" width="46.28515625" style="229" customWidth="1"/>
    <col min="5134" max="5376" width="9.140625" style="229"/>
    <col min="5377" max="5380" width="5.140625" style="229" customWidth="1"/>
    <col min="5381" max="5381" width="86.85546875" style="229" customWidth="1"/>
    <col min="5382" max="5382" width="13.140625" style="229" bestFit="1" customWidth="1"/>
    <col min="5383" max="5383" width="21.140625" style="229" customWidth="1"/>
    <col min="5384" max="5384" width="26.7109375" style="229" customWidth="1"/>
    <col min="5385" max="5385" width="33.140625" style="229" customWidth="1"/>
    <col min="5386" max="5388" width="9.140625" style="229"/>
    <col min="5389" max="5389" width="46.28515625" style="229" customWidth="1"/>
    <col min="5390" max="5632" width="9.140625" style="229"/>
    <col min="5633" max="5636" width="5.140625" style="229" customWidth="1"/>
    <col min="5637" max="5637" width="86.85546875" style="229" customWidth="1"/>
    <col min="5638" max="5638" width="13.140625" style="229" bestFit="1" customWidth="1"/>
    <col min="5639" max="5639" width="21.140625" style="229" customWidth="1"/>
    <col min="5640" max="5640" width="26.7109375" style="229" customWidth="1"/>
    <col min="5641" max="5641" width="33.140625" style="229" customWidth="1"/>
    <col min="5642" max="5644" width="9.140625" style="229"/>
    <col min="5645" max="5645" width="46.28515625" style="229" customWidth="1"/>
    <col min="5646" max="5888" width="9.140625" style="229"/>
    <col min="5889" max="5892" width="5.140625" style="229" customWidth="1"/>
    <col min="5893" max="5893" width="86.85546875" style="229" customWidth="1"/>
    <col min="5894" max="5894" width="13.140625" style="229" bestFit="1" customWidth="1"/>
    <col min="5895" max="5895" width="21.140625" style="229" customWidth="1"/>
    <col min="5896" max="5896" width="26.7109375" style="229" customWidth="1"/>
    <col min="5897" max="5897" width="33.140625" style="229" customWidth="1"/>
    <col min="5898" max="5900" width="9.140625" style="229"/>
    <col min="5901" max="5901" width="46.28515625" style="229" customWidth="1"/>
    <col min="5902" max="6144" width="9.140625" style="229"/>
    <col min="6145" max="6148" width="5.140625" style="229" customWidth="1"/>
    <col min="6149" max="6149" width="86.85546875" style="229" customWidth="1"/>
    <col min="6150" max="6150" width="13.140625" style="229" bestFit="1" customWidth="1"/>
    <col min="6151" max="6151" width="21.140625" style="229" customWidth="1"/>
    <col min="6152" max="6152" width="26.7109375" style="229" customWidth="1"/>
    <col min="6153" max="6153" width="33.140625" style="229" customWidth="1"/>
    <col min="6154" max="6156" width="9.140625" style="229"/>
    <col min="6157" max="6157" width="46.28515625" style="229" customWidth="1"/>
    <col min="6158" max="6400" width="9.140625" style="229"/>
    <col min="6401" max="6404" width="5.140625" style="229" customWidth="1"/>
    <col min="6405" max="6405" width="86.85546875" style="229" customWidth="1"/>
    <col min="6406" max="6406" width="13.140625" style="229" bestFit="1" customWidth="1"/>
    <col min="6407" max="6407" width="21.140625" style="229" customWidth="1"/>
    <col min="6408" max="6408" width="26.7109375" style="229" customWidth="1"/>
    <col min="6409" max="6409" width="33.140625" style="229" customWidth="1"/>
    <col min="6410" max="6412" width="9.140625" style="229"/>
    <col min="6413" max="6413" width="46.28515625" style="229" customWidth="1"/>
    <col min="6414" max="6656" width="9.140625" style="229"/>
    <col min="6657" max="6660" width="5.140625" style="229" customWidth="1"/>
    <col min="6661" max="6661" width="86.85546875" style="229" customWidth="1"/>
    <col min="6662" max="6662" width="13.140625" style="229" bestFit="1" customWidth="1"/>
    <col min="6663" max="6663" width="21.140625" style="229" customWidth="1"/>
    <col min="6664" max="6664" width="26.7109375" style="229" customWidth="1"/>
    <col min="6665" max="6665" width="33.140625" style="229" customWidth="1"/>
    <col min="6666" max="6668" width="9.140625" style="229"/>
    <col min="6669" max="6669" width="46.28515625" style="229" customWidth="1"/>
    <col min="6670" max="6912" width="9.140625" style="229"/>
    <col min="6913" max="6916" width="5.140625" style="229" customWidth="1"/>
    <col min="6917" max="6917" width="86.85546875" style="229" customWidth="1"/>
    <col min="6918" max="6918" width="13.140625" style="229" bestFit="1" customWidth="1"/>
    <col min="6919" max="6919" width="21.140625" style="229" customWidth="1"/>
    <col min="6920" max="6920" width="26.7109375" style="229" customWidth="1"/>
    <col min="6921" max="6921" width="33.140625" style="229" customWidth="1"/>
    <col min="6922" max="6924" width="9.140625" style="229"/>
    <col min="6925" max="6925" width="46.28515625" style="229" customWidth="1"/>
    <col min="6926" max="7168" width="9.140625" style="229"/>
    <col min="7169" max="7172" width="5.140625" style="229" customWidth="1"/>
    <col min="7173" max="7173" width="86.85546875" style="229" customWidth="1"/>
    <col min="7174" max="7174" width="13.140625" style="229" bestFit="1" customWidth="1"/>
    <col min="7175" max="7175" width="21.140625" style="229" customWidth="1"/>
    <col min="7176" max="7176" width="26.7109375" style="229" customWidth="1"/>
    <col min="7177" max="7177" width="33.140625" style="229" customWidth="1"/>
    <col min="7178" max="7180" width="9.140625" style="229"/>
    <col min="7181" max="7181" width="46.28515625" style="229" customWidth="1"/>
    <col min="7182" max="7424" width="9.140625" style="229"/>
    <col min="7425" max="7428" width="5.140625" style="229" customWidth="1"/>
    <col min="7429" max="7429" width="86.85546875" style="229" customWidth="1"/>
    <col min="7430" max="7430" width="13.140625" style="229" bestFit="1" customWidth="1"/>
    <col min="7431" max="7431" width="21.140625" style="229" customWidth="1"/>
    <col min="7432" max="7432" width="26.7109375" style="229" customWidth="1"/>
    <col min="7433" max="7433" width="33.140625" style="229" customWidth="1"/>
    <col min="7434" max="7436" width="9.140625" style="229"/>
    <col min="7437" max="7437" width="46.28515625" style="229" customWidth="1"/>
    <col min="7438" max="7680" width="9.140625" style="229"/>
    <col min="7681" max="7684" width="5.140625" style="229" customWidth="1"/>
    <col min="7685" max="7685" width="86.85546875" style="229" customWidth="1"/>
    <col min="7686" max="7686" width="13.140625" style="229" bestFit="1" customWidth="1"/>
    <col min="7687" max="7687" width="21.140625" style="229" customWidth="1"/>
    <col min="7688" max="7688" width="26.7109375" style="229" customWidth="1"/>
    <col min="7689" max="7689" width="33.140625" style="229" customWidth="1"/>
    <col min="7690" max="7692" width="9.140625" style="229"/>
    <col min="7693" max="7693" width="46.28515625" style="229" customWidth="1"/>
    <col min="7694" max="7936" width="9.140625" style="229"/>
    <col min="7937" max="7940" width="5.140625" style="229" customWidth="1"/>
    <col min="7941" max="7941" width="86.85546875" style="229" customWidth="1"/>
    <col min="7942" max="7942" width="13.140625" style="229" bestFit="1" customWidth="1"/>
    <col min="7943" max="7943" width="21.140625" style="229" customWidth="1"/>
    <col min="7944" max="7944" width="26.7109375" style="229" customWidth="1"/>
    <col min="7945" max="7945" width="33.140625" style="229" customWidth="1"/>
    <col min="7946" max="7948" width="9.140625" style="229"/>
    <col min="7949" max="7949" width="46.28515625" style="229" customWidth="1"/>
    <col min="7950" max="8192" width="9.140625" style="229"/>
    <col min="8193" max="8196" width="5.140625" style="229" customWidth="1"/>
    <col min="8197" max="8197" width="86.85546875" style="229" customWidth="1"/>
    <col min="8198" max="8198" width="13.140625" style="229" bestFit="1" customWidth="1"/>
    <col min="8199" max="8199" width="21.140625" style="229" customWidth="1"/>
    <col min="8200" max="8200" width="26.7109375" style="229" customWidth="1"/>
    <col min="8201" max="8201" width="33.140625" style="229" customWidth="1"/>
    <col min="8202" max="8204" width="9.140625" style="229"/>
    <col min="8205" max="8205" width="46.28515625" style="229" customWidth="1"/>
    <col min="8206" max="8448" width="9.140625" style="229"/>
    <col min="8449" max="8452" width="5.140625" style="229" customWidth="1"/>
    <col min="8453" max="8453" width="86.85546875" style="229" customWidth="1"/>
    <col min="8454" max="8454" width="13.140625" style="229" bestFit="1" customWidth="1"/>
    <col min="8455" max="8455" width="21.140625" style="229" customWidth="1"/>
    <col min="8456" max="8456" width="26.7109375" style="229" customWidth="1"/>
    <col min="8457" max="8457" width="33.140625" style="229" customWidth="1"/>
    <col min="8458" max="8460" width="9.140625" style="229"/>
    <col min="8461" max="8461" width="46.28515625" style="229" customWidth="1"/>
    <col min="8462" max="8704" width="9.140625" style="229"/>
    <col min="8705" max="8708" width="5.140625" style="229" customWidth="1"/>
    <col min="8709" max="8709" width="86.85546875" style="229" customWidth="1"/>
    <col min="8710" max="8710" width="13.140625" style="229" bestFit="1" customWidth="1"/>
    <col min="8711" max="8711" width="21.140625" style="229" customWidth="1"/>
    <col min="8712" max="8712" width="26.7109375" style="229" customWidth="1"/>
    <col min="8713" max="8713" width="33.140625" style="229" customWidth="1"/>
    <col min="8714" max="8716" width="9.140625" style="229"/>
    <col min="8717" max="8717" width="46.28515625" style="229" customWidth="1"/>
    <col min="8718" max="8960" width="9.140625" style="229"/>
    <col min="8961" max="8964" width="5.140625" style="229" customWidth="1"/>
    <col min="8965" max="8965" width="86.85546875" style="229" customWidth="1"/>
    <col min="8966" max="8966" width="13.140625" style="229" bestFit="1" customWidth="1"/>
    <col min="8967" max="8967" width="21.140625" style="229" customWidth="1"/>
    <col min="8968" max="8968" width="26.7109375" style="229" customWidth="1"/>
    <col min="8969" max="8969" width="33.140625" style="229" customWidth="1"/>
    <col min="8970" max="8972" width="9.140625" style="229"/>
    <col min="8973" max="8973" width="46.28515625" style="229" customWidth="1"/>
    <col min="8974" max="9216" width="9.140625" style="229"/>
    <col min="9217" max="9220" width="5.140625" style="229" customWidth="1"/>
    <col min="9221" max="9221" width="86.85546875" style="229" customWidth="1"/>
    <col min="9222" max="9222" width="13.140625" style="229" bestFit="1" customWidth="1"/>
    <col min="9223" max="9223" width="21.140625" style="229" customWidth="1"/>
    <col min="9224" max="9224" width="26.7109375" style="229" customWidth="1"/>
    <col min="9225" max="9225" width="33.140625" style="229" customWidth="1"/>
    <col min="9226" max="9228" width="9.140625" style="229"/>
    <col min="9229" max="9229" width="46.28515625" style="229" customWidth="1"/>
    <col min="9230" max="9472" width="9.140625" style="229"/>
    <col min="9473" max="9476" width="5.140625" style="229" customWidth="1"/>
    <col min="9477" max="9477" width="86.85546875" style="229" customWidth="1"/>
    <col min="9478" max="9478" width="13.140625" style="229" bestFit="1" customWidth="1"/>
    <col min="9479" max="9479" width="21.140625" style="229" customWidth="1"/>
    <col min="9480" max="9480" width="26.7109375" style="229" customWidth="1"/>
    <col min="9481" max="9481" width="33.140625" style="229" customWidth="1"/>
    <col min="9482" max="9484" width="9.140625" style="229"/>
    <col min="9485" max="9485" width="46.28515625" style="229" customWidth="1"/>
    <col min="9486" max="9728" width="9.140625" style="229"/>
    <col min="9729" max="9732" width="5.140625" style="229" customWidth="1"/>
    <col min="9733" max="9733" width="86.85546875" style="229" customWidth="1"/>
    <col min="9734" max="9734" width="13.140625" style="229" bestFit="1" customWidth="1"/>
    <col min="9735" max="9735" width="21.140625" style="229" customWidth="1"/>
    <col min="9736" max="9736" width="26.7109375" style="229" customWidth="1"/>
    <col min="9737" max="9737" width="33.140625" style="229" customWidth="1"/>
    <col min="9738" max="9740" width="9.140625" style="229"/>
    <col min="9741" max="9741" width="46.28515625" style="229" customWidth="1"/>
    <col min="9742" max="9984" width="9.140625" style="229"/>
    <col min="9985" max="9988" width="5.140625" style="229" customWidth="1"/>
    <col min="9989" max="9989" width="86.85546875" style="229" customWidth="1"/>
    <col min="9990" max="9990" width="13.140625" style="229" bestFit="1" customWidth="1"/>
    <col min="9991" max="9991" width="21.140625" style="229" customWidth="1"/>
    <col min="9992" max="9992" width="26.7109375" style="229" customWidth="1"/>
    <col min="9993" max="9993" width="33.140625" style="229" customWidth="1"/>
    <col min="9994" max="9996" width="9.140625" style="229"/>
    <col min="9997" max="9997" width="46.28515625" style="229" customWidth="1"/>
    <col min="9998" max="10240" width="9.140625" style="229"/>
    <col min="10241" max="10244" width="5.140625" style="229" customWidth="1"/>
    <col min="10245" max="10245" width="86.85546875" style="229" customWidth="1"/>
    <col min="10246" max="10246" width="13.140625" style="229" bestFit="1" customWidth="1"/>
    <col min="10247" max="10247" width="21.140625" style="229" customWidth="1"/>
    <col min="10248" max="10248" width="26.7109375" style="229" customWidth="1"/>
    <col min="10249" max="10249" width="33.140625" style="229" customWidth="1"/>
    <col min="10250" max="10252" width="9.140625" style="229"/>
    <col min="10253" max="10253" width="46.28515625" style="229" customWidth="1"/>
    <col min="10254" max="10496" width="9.140625" style="229"/>
    <col min="10497" max="10500" width="5.140625" style="229" customWidth="1"/>
    <col min="10501" max="10501" width="86.85546875" style="229" customWidth="1"/>
    <col min="10502" max="10502" width="13.140625" style="229" bestFit="1" customWidth="1"/>
    <col min="10503" max="10503" width="21.140625" style="229" customWidth="1"/>
    <col min="10504" max="10504" width="26.7109375" style="229" customWidth="1"/>
    <col min="10505" max="10505" width="33.140625" style="229" customWidth="1"/>
    <col min="10506" max="10508" width="9.140625" style="229"/>
    <col min="10509" max="10509" width="46.28515625" style="229" customWidth="1"/>
    <col min="10510" max="10752" width="9.140625" style="229"/>
    <col min="10753" max="10756" width="5.140625" style="229" customWidth="1"/>
    <col min="10757" max="10757" width="86.85546875" style="229" customWidth="1"/>
    <col min="10758" max="10758" width="13.140625" style="229" bestFit="1" customWidth="1"/>
    <col min="10759" max="10759" width="21.140625" style="229" customWidth="1"/>
    <col min="10760" max="10760" width="26.7109375" style="229" customWidth="1"/>
    <col min="10761" max="10761" width="33.140625" style="229" customWidth="1"/>
    <col min="10762" max="10764" width="9.140625" style="229"/>
    <col min="10765" max="10765" width="46.28515625" style="229" customWidth="1"/>
    <col min="10766" max="11008" width="9.140625" style="229"/>
    <col min="11009" max="11012" width="5.140625" style="229" customWidth="1"/>
    <col min="11013" max="11013" width="86.85546875" style="229" customWidth="1"/>
    <col min="11014" max="11014" width="13.140625" style="229" bestFit="1" customWidth="1"/>
    <col min="11015" max="11015" width="21.140625" style="229" customWidth="1"/>
    <col min="11016" max="11016" width="26.7109375" style="229" customWidth="1"/>
    <col min="11017" max="11017" width="33.140625" style="229" customWidth="1"/>
    <col min="11018" max="11020" width="9.140625" style="229"/>
    <col min="11021" max="11021" width="46.28515625" style="229" customWidth="1"/>
    <col min="11022" max="11264" width="9.140625" style="229"/>
    <col min="11265" max="11268" width="5.140625" style="229" customWidth="1"/>
    <col min="11269" max="11269" width="86.85546875" style="229" customWidth="1"/>
    <col min="11270" max="11270" width="13.140625" style="229" bestFit="1" customWidth="1"/>
    <col min="11271" max="11271" width="21.140625" style="229" customWidth="1"/>
    <col min="11272" max="11272" width="26.7109375" style="229" customWidth="1"/>
    <col min="11273" max="11273" width="33.140625" style="229" customWidth="1"/>
    <col min="11274" max="11276" width="9.140625" style="229"/>
    <col min="11277" max="11277" width="46.28515625" style="229" customWidth="1"/>
    <col min="11278" max="11520" width="9.140625" style="229"/>
    <col min="11521" max="11524" width="5.140625" style="229" customWidth="1"/>
    <col min="11525" max="11525" width="86.85546875" style="229" customWidth="1"/>
    <col min="11526" max="11526" width="13.140625" style="229" bestFit="1" customWidth="1"/>
    <col min="11527" max="11527" width="21.140625" style="229" customWidth="1"/>
    <col min="11528" max="11528" width="26.7109375" style="229" customWidth="1"/>
    <col min="11529" max="11529" width="33.140625" style="229" customWidth="1"/>
    <col min="11530" max="11532" width="9.140625" style="229"/>
    <col min="11533" max="11533" width="46.28515625" style="229" customWidth="1"/>
    <col min="11534" max="11776" width="9.140625" style="229"/>
    <col min="11777" max="11780" width="5.140625" style="229" customWidth="1"/>
    <col min="11781" max="11781" width="86.85546875" style="229" customWidth="1"/>
    <col min="11782" max="11782" width="13.140625" style="229" bestFit="1" customWidth="1"/>
    <col min="11783" max="11783" width="21.140625" style="229" customWidth="1"/>
    <col min="11784" max="11784" width="26.7109375" style="229" customWidth="1"/>
    <col min="11785" max="11785" width="33.140625" style="229" customWidth="1"/>
    <col min="11786" max="11788" width="9.140625" style="229"/>
    <col min="11789" max="11789" width="46.28515625" style="229" customWidth="1"/>
    <col min="11790" max="12032" width="9.140625" style="229"/>
    <col min="12033" max="12036" width="5.140625" style="229" customWidth="1"/>
    <col min="12037" max="12037" width="86.85546875" style="229" customWidth="1"/>
    <col min="12038" max="12038" width="13.140625" style="229" bestFit="1" customWidth="1"/>
    <col min="12039" max="12039" width="21.140625" style="229" customWidth="1"/>
    <col min="12040" max="12040" width="26.7109375" style="229" customWidth="1"/>
    <col min="12041" max="12041" width="33.140625" style="229" customWidth="1"/>
    <col min="12042" max="12044" width="9.140625" style="229"/>
    <col min="12045" max="12045" width="46.28515625" style="229" customWidth="1"/>
    <col min="12046" max="12288" width="9.140625" style="229"/>
    <col min="12289" max="12292" width="5.140625" style="229" customWidth="1"/>
    <col min="12293" max="12293" width="86.85546875" style="229" customWidth="1"/>
    <col min="12294" max="12294" width="13.140625" style="229" bestFit="1" customWidth="1"/>
    <col min="12295" max="12295" width="21.140625" style="229" customWidth="1"/>
    <col min="12296" max="12296" width="26.7109375" style="229" customWidth="1"/>
    <col min="12297" max="12297" width="33.140625" style="229" customWidth="1"/>
    <col min="12298" max="12300" width="9.140625" style="229"/>
    <col min="12301" max="12301" width="46.28515625" style="229" customWidth="1"/>
    <col min="12302" max="12544" width="9.140625" style="229"/>
    <col min="12545" max="12548" width="5.140625" style="229" customWidth="1"/>
    <col min="12549" max="12549" width="86.85546875" style="229" customWidth="1"/>
    <col min="12550" max="12550" width="13.140625" style="229" bestFit="1" customWidth="1"/>
    <col min="12551" max="12551" width="21.140625" style="229" customWidth="1"/>
    <col min="12552" max="12552" width="26.7109375" style="229" customWidth="1"/>
    <col min="12553" max="12553" width="33.140625" style="229" customWidth="1"/>
    <col min="12554" max="12556" width="9.140625" style="229"/>
    <col min="12557" max="12557" width="46.28515625" style="229" customWidth="1"/>
    <col min="12558" max="12800" width="9.140625" style="229"/>
    <col min="12801" max="12804" width="5.140625" style="229" customWidth="1"/>
    <col min="12805" max="12805" width="86.85546875" style="229" customWidth="1"/>
    <col min="12806" max="12806" width="13.140625" style="229" bestFit="1" customWidth="1"/>
    <col min="12807" max="12807" width="21.140625" style="229" customWidth="1"/>
    <col min="12808" max="12808" width="26.7109375" style="229" customWidth="1"/>
    <col min="12809" max="12809" width="33.140625" style="229" customWidth="1"/>
    <col min="12810" max="12812" width="9.140625" style="229"/>
    <col min="12813" max="12813" width="46.28515625" style="229" customWidth="1"/>
    <col min="12814" max="13056" width="9.140625" style="229"/>
    <col min="13057" max="13060" width="5.140625" style="229" customWidth="1"/>
    <col min="13061" max="13061" width="86.85546875" style="229" customWidth="1"/>
    <col min="13062" max="13062" width="13.140625" style="229" bestFit="1" customWidth="1"/>
    <col min="13063" max="13063" width="21.140625" style="229" customWidth="1"/>
    <col min="13064" max="13064" width="26.7109375" style="229" customWidth="1"/>
    <col min="13065" max="13065" width="33.140625" style="229" customWidth="1"/>
    <col min="13066" max="13068" width="9.140625" style="229"/>
    <col min="13069" max="13069" width="46.28515625" style="229" customWidth="1"/>
    <col min="13070" max="13312" width="9.140625" style="229"/>
    <col min="13313" max="13316" width="5.140625" style="229" customWidth="1"/>
    <col min="13317" max="13317" width="86.85546875" style="229" customWidth="1"/>
    <col min="13318" max="13318" width="13.140625" style="229" bestFit="1" customWidth="1"/>
    <col min="13319" max="13319" width="21.140625" style="229" customWidth="1"/>
    <col min="13320" max="13320" width="26.7109375" style="229" customWidth="1"/>
    <col min="13321" max="13321" width="33.140625" style="229" customWidth="1"/>
    <col min="13322" max="13324" width="9.140625" style="229"/>
    <col min="13325" max="13325" width="46.28515625" style="229" customWidth="1"/>
    <col min="13326" max="13568" width="9.140625" style="229"/>
    <col min="13569" max="13572" width="5.140625" style="229" customWidth="1"/>
    <col min="13573" max="13573" width="86.85546875" style="229" customWidth="1"/>
    <col min="13574" max="13574" width="13.140625" style="229" bestFit="1" customWidth="1"/>
    <col min="13575" max="13575" width="21.140625" style="229" customWidth="1"/>
    <col min="13576" max="13576" width="26.7109375" style="229" customWidth="1"/>
    <col min="13577" max="13577" width="33.140625" style="229" customWidth="1"/>
    <col min="13578" max="13580" width="9.140625" style="229"/>
    <col min="13581" max="13581" width="46.28515625" style="229" customWidth="1"/>
    <col min="13582" max="13824" width="9.140625" style="229"/>
    <col min="13825" max="13828" width="5.140625" style="229" customWidth="1"/>
    <col min="13829" max="13829" width="86.85546875" style="229" customWidth="1"/>
    <col min="13830" max="13830" width="13.140625" style="229" bestFit="1" customWidth="1"/>
    <col min="13831" max="13831" width="21.140625" style="229" customWidth="1"/>
    <col min="13832" max="13832" width="26.7109375" style="229" customWidth="1"/>
    <col min="13833" max="13833" width="33.140625" style="229" customWidth="1"/>
    <col min="13834" max="13836" width="9.140625" style="229"/>
    <col min="13837" max="13837" width="46.28515625" style="229" customWidth="1"/>
    <col min="13838" max="14080" width="9.140625" style="229"/>
    <col min="14081" max="14084" width="5.140625" style="229" customWidth="1"/>
    <col min="14085" max="14085" width="86.85546875" style="229" customWidth="1"/>
    <col min="14086" max="14086" width="13.140625" style="229" bestFit="1" customWidth="1"/>
    <col min="14087" max="14087" width="21.140625" style="229" customWidth="1"/>
    <col min="14088" max="14088" width="26.7109375" style="229" customWidth="1"/>
    <col min="14089" max="14089" width="33.140625" style="229" customWidth="1"/>
    <col min="14090" max="14092" width="9.140625" style="229"/>
    <col min="14093" max="14093" width="46.28515625" style="229" customWidth="1"/>
    <col min="14094" max="14336" width="9.140625" style="229"/>
    <col min="14337" max="14340" width="5.140625" style="229" customWidth="1"/>
    <col min="14341" max="14341" width="86.85546875" style="229" customWidth="1"/>
    <col min="14342" max="14342" width="13.140625" style="229" bestFit="1" customWidth="1"/>
    <col min="14343" max="14343" width="21.140625" style="229" customWidth="1"/>
    <col min="14344" max="14344" width="26.7109375" style="229" customWidth="1"/>
    <col min="14345" max="14345" width="33.140625" style="229" customWidth="1"/>
    <col min="14346" max="14348" width="9.140625" style="229"/>
    <col min="14349" max="14349" width="46.28515625" style="229" customWidth="1"/>
    <col min="14350" max="14592" width="9.140625" style="229"/>
    <col min="14593" max="14596" width="5.140625" style="229" customWidth="1"/>
    <col min="14597" max="14597" width="86.85546875" style="229" customWidth="1"/>
    <col min="14598" max="14598" width="13.140625" style="229" bestFit="1" customWidth="1"/>
    <col min="14599" max="14599" width="21.140625" style="229" customWidth="1"/>
    <col min="14600" max="14600" width="26.7109375" style="229" customWidth="1"/>
    <col min="14601" max="14601" width="33.140625" style="229" customWidth="1"/>
    <col min="14602" max="14604" width="9.140625" style="229"/>
    <col min="14605" max="14605" width="46.28515625" style="229" customWidth="1"/>
    <col min="14606" max="14848" width="9.140625" style="229"/>
    <col min="14849" max="14852" width="5.140625" style="229" customWidth="1"/>
    <col min="14853" max="14853" width="86.85546875" style="229" customWidth="1"/>
    <col min="14854" max="14854" width="13.140625" style="229" bestFit="1" customWidth="1"/>
    <col min="14855" max="14855" width="21.140625" style="229" customWidth="1"/>
    <col min="14856" max="14856" width="26.7109375" style="229" customWidth="1"/>
    <col min="14857" max="14857" width="33.140625" style="229" customWidth="1"/>
    <col min="14858" max="14860" width="9.140625" style="229"/>
    <col min="14861" max="14861" width="46.28515625" style="229" customWidth="1"/>
    <col min="14862" max="15104" width="9.140625" style="229"/>
    <col min="15105" max="15108" width="5.140625" style="229" customWidth="1"/>
    <col min="15109" max="15109" width="86.85546875" style="229" customWidth="1"/>
    <col min="15110" max="15110" width="13.140625" style="229" bestFit="1" customWidth="1"/>
    <col min="15111" max="15111" width="21.140625" style="229" customWidth="1"/>
    <col min="15112" max="15112" width="26.7109375" style="229" customWidth="1"/>
    <col min="15113" max="15113" width="33.140625" style="229" customWidth="1"/>
    <col min="15114" max="15116" width="9.140625" style="229"/>
    <col min="15117" max="15117" width="46.28515625" style="229" customWidth="1"/>
    <col min="15118" max="15360" width="9.140625" style="229"/>
    <col min="15361" max="15364" width="5.140625" style="229" customWidth="1"/>
    <col min="15365" max="15365" width="86.85546875" style="229" customWidth="1"/>
    <col min="15366" max="15366" width="13.140625" style="229" bestFit="1" customWidth="1"/>
    <col min="15367" max="15367" width="21.140625" style="229" customWidth="1"/>
    <col min="15368" max="15368" width="26.7109375" style="229" customWidth="1"/>
    <col min="15369" max="15369" width="33.140625" style="229" customWidth="1"/>
    <col min="15370" max="15372" width="9.140625" style="229"/>
    <col min="15373" max="15373" width="46.28515625" style="229" customWidth="1"/>
    <col min="15374" max="15616" width="9.140625" style="229"/>
    <col min="15617" max="15620" width="5.140625" style="229" customWidth="1"/>
    <col min="15621" max="15621" width="86.85546875" style="229" customWidth="1"/>
    <col min="15622" max="15622" width="13.140625" style="229" bestFit="1" customWidth="1"/>
    <col min="15623" max="15623" width="21.140625" style="229" customWidth="1"/>
    <col min="15624" max="15624" width="26.7109375" style="229" customWidth="1"/>
    <col min="15625" max="15625" width="33.140625" style="229" customWidth="1"/>
    <col min="15626" max="15628" width="9.140625" style="229"/>
    <col min="15629" max="15629" width="46.28515625" style="229" customWidth="1"/>
    <col min="15630" max="15872" width="9.140625" style="229"/>
    <col min="15873" max="15876" width="5.140625" style="229" customWidth="1"/>
    <col min="15877" max="15877" width="86.85546875" style="229" customWidth="1"/>
    <col min="15878" max="15878" width="13.140625" style="229" bestFit="1" customWidth="1"/>
    <col min="15879" max="15879" width="21.140625" style="229" customWidth="1"/>
    <col min="15880" max="15880" width="26.7109375" style="229" customWidth="1"/>
    <col min="15881" max="15881" width="33.140625" style="229" customWidth="1"/>
    <col min="15882" max="15884" width="9.140625" style="229"/>
    <col min="15885" max="15885" width="46.28515625" style="229" customWidth="1"/>
    <col min="15886" max="16128" width="9.140625" style="229"/>
    <col min="16129" max="16132" width="5.140625" style="229" customWidth="1"/>
    <col min="16133" max="16133" width="86.85546875" style="229" customWidth="1"/>
    <col min="16134" max="16134" width="13.140625" style="229" bestFit="1" customWidth="1"/>
    <col min="16135" max="16135" width="21.140625" style="229" customWidth="1"/>
    <col min="16136" max="16136" width="26.7109375" style="229" customWidth="1"/>
    <col min="16137" max="16137" width="33.140625" style="229" customWidth="1"/>
    <col min="16138" max="16140" width="9.140625" style="229"/>
    <col min="16141" max="16141" width="46.28515625" style="229" customWidth="1"/>
    <col min="16142" max="16384" width="9.140625" style="229"/>
  </cols>
  <sheetData>
    <row r="1" spans="1:9" s="317" customFormat="1" ht="29.25" customHeight="1">
      <c r="A1" s="706" t="s">
        <v>938</v>
      </c>
      <c r="B1" s="706"/>
      <c r="C1" s="706"/>
      <c r="D1" s="706"/>
      <c r="E1" s="706"/>
      <c r="F1" s="706"/>
      <c r="G1" s="706"/>
      <c r="H1" s="706"/>
      <c r="I1" s="706"/>
    </row>
    <row r="2" spans="1:9" s="317" customFormat="1" ht="29.25" customHeight="1">
      <c r="A2" s="706" t="s">
        <v>940</v>
      </c>
      <c r="B2" s="706"/>
      <c r="C2" s="706"/>
      <c r="D2" s="706"/>
      <c r="E2" s="706"/>
      <c r="F2" s="706"/>
      <c r="G2" s="706"/>
      <c r="H2" s="706"/>
      <c r="I2" s="706"/>
    </row>
    <row r="3" spans="1:9" s="215" customFormat="1" ht="24" customHeight="1">
      <c r="F3" s="216"/>
      <c r="H3" s="217"/>
      <c r="I3" s="217"/>
    </row>
    <row r="4" spans="1:9" s="218" customFormat="1" ht="24" customHeight="1">
      <c r="A4" s="218" t="s">
        <v>339</v>
      </c>
      <c r="E4" s="218" t="s">
        <v>1</v>
      </c>
      <c r="F4" s="219"/>
      <c r="G4" s="218" t="s">
        <v>61</v>
      </c>
      <c r="H4" s="220" t="s">
        <v>62</v>
      </c>
      <c r="I4" s="221"/>
    </row>
    <row r="5" spans="1:9" s="218" customFormat="1" ht="24" customHeight="1">
      <c r="A5" s="222" t="s">
        <v>340</v>
      </c>
      <c r="B5" s="223"/>
      <c r="C5" s="223"/>
      <c r="D5" s="223"/>
      <c r="E5" s="224" t="s">
        <v>3</v>
      </c>
      <c r="F5" s="225"/>
      <c r="G5" s="226" t="s">
        <v>63</v>
      </c>
      <c r="H5" s="224" t="s">
        <v>64</v>
      </c>
      <c r="I5" s="227"/>
    </row>
    <row r="6" spans="1:9" ht="15.75">
      <c r="A6" s="29"/>
      <c r="B6" s="29"/>
      <c r="C6" s="29"/>
      <c r="D6" s="29"/>
      <c r="E6" s="30"/>
      <c r="F6" s="228"/>
      <c r="G6" s="30"/>
      <c r="H6" s="31"/>
      <c r="I6" s="31"/>
    </row>
    <row r="7" spans="1:9" s="230" customFormat="1" ht="29.25" customHeight="1">
      <c r="A7" s="709" t="s">
        <v>301</v>
      </c>
      <c r="B7" s="709"/>
      <c r="C7" s="709"/>
      <c r="D7" s="709"/>
      <c r="E7" s="709" t="s">
        <v>302</v>
      </c>
      <c r="F7" s="715" t="s">
        <v>5</v>
      </c>
      <c r="G7" s="712" t="s">
        <v>303</v>
      </c>
      <c r="H7" s="712" t="s">
        <v>68</v>
      </c>
      <c r="I7" s="712" t="s">
        <v>908</v>
      </c>
    </row>
    <row r="8" spans="1:9" s="230" customFormat="1" ht="24.75" customHeight="1">
      <c r="A8" s="709"/>
      <c r="B8" s="709"/>
      <c r="C8" s="709"/>
      <c r="D8" s="709"/>
      <c r="E8" s="709"/>
      <c r="F8" s="716"/>
      <c r="G8" s="713"/>
      <c r="H8" s="713"/>
      <c r="I8" s="713"/>
    </row>
    <row r="9" spans="1:9" s="230" customFormat="1" ht="15.75">
      <c r="A9" s="704">
        <v>1</v>
      </c>
      <c r="B9" s="704"/>
      <c r="C9" s="704"/>
      <c r="D9" s="704"/>
      <c r="E9" s="231">
        <v>2</v>
      </c>
      <c r="F9" s="232">
        <v>3</v>
      </c>
      <c r="G9" s="231">
        <v>4</v>
      </c>
      <c r="H9" s="231">
        <v>5</v>
      </c>
      <c r="I9" s="231">
        <v>6</v>
      </c>
    </row>
    <row r="10" spans="1:9" s="230" customFormat="1" ht="30" customHeight="1">
      <c r="A10" s="233">
        <v>5</v>
      </c>
      <c r="B10" s="233"/>
      <c r="C10" s="233"/>
      <c r="D10" s="233"/>
      <c r="E10" s="234" t="s">
        <v>909</v>
      </c>
      <c r="F10" s="235"/>
      <c r="G10" s="236">
        <f>G11+G45+G72+G93+G114</f>
        <v>2958051420</v>
      </c>
      <c r="H10" s="235"/>
      <c r="I10" s="235"/>
    </row>
    <row r="11" spans="1:9" s="230" customFormat="1" ht="30" customHeight="1">
      <c r="A11" s="237">
        <v>5</v>
      </c>
      <c r="B11" s="237">
        <v>1</v>
      </c>
      <c r="C11" s="237"/>
      <c r="D11" s="237"/>
      <c r="E11" s="238" t="s">
        <v>6</v>
      </c>
      <c r="F11" s="239"/>
      <c r="G11" s="240">
        <f>G12+G20+G26+G30+G42</f>
        <v>1062429680</v>
      </c>
      <c r="H11" s="239"/>
      <c r="I11" s="239"/>
    </row>
    <row r="12" spans="1:9" s="230" customFormat="1" ht="39" customHeight="1">
      <c r="A12" s="241">
        <v>5</v>
      </c>
      <c r="B12" s="241">
        <v>1</v>
      </c>
      <c r="C12" s="241">
        <v>1</v>
      </c>
      <c r="D12" s="241"/>
      <c r="E12" s="242" t="s">
        <v>304</v>
      </c>
      <c r="F12" s="243" t="s">
        <v>910</v>
      </c>
      <c r="G12" s="244">
        <f>SUM(G13:G19)</f>
        <v>858670280</v>
      </c>
      <c r="H12" s="243" t="s">
        <v>361</v>
      </c>
      <c r="I12" s="243"/>
    </row>
    <row r="13" spans="1:9" s="249" customFormat="1" ht="24" customHeight="1">
      <c r="A13" s="245">
        <v>5</v>
      </c>
      <c r="B13" s="245">
        <v>1</v>
      </c>
      <c r="C13" s="245">
        <v>1</v>
      </c>
      <c r="D13" s="245">
        <v>1</v>
      </c>
      <c r="E13" s="246" t="s">
        <v>7</v>
      </c>
      <c r="F13" s="247" t="s">
        <v>910</v>
      </c>
      <c r="G13" s="248">
        <v>37500000</v>
      </c>
      <c r="H13" s="247" t="s">
        <v>361</v>
      </c>
      <c r="I13" s="247" t="s">
        <v>9</v>
      </c>
    </row>
    <row r="14" spans="1:9" s="249" customFormat="1" ht="26.25" customHeight="1">
      <c r="A14" s="245">
        <v>5</v>
      </c>
      <c r="B14" s="245">
        <v>1</v>
      </c>
      <c r="C14" s="245">
        <v>1</v>
      </c>
      <c r="D14" s="245">
        <v>2</v>
      </c>
      <c r="E14" s="246" t="s">
        <v>10</v>
      </c>
      <c r="F14" s="247" t="s">
        <v>910</v>
      </c>
      <c r="G14" s="248">
        <v>652500000</v>
      </c>
      <c r="H14" s="247" t="s">
        <v>361</v>
      </c>
      <c r="I14" s="247" t="s">
        <v>9</v>
      </c>
    </row>
    <row r="15" spans="1:9" s="249" customFormat="1" ht="23.25" customHeight="1">
      <c r="A15" s="245">
        <v>5</v>
      </c>
      <c r="B15" s="245">
        <v>1</v>
      </c>
      <c r="C15" s="245">
        <v>1</v>
      </c>
      <c r="D15" s="245">
        <v>3</v>
      </c>
      <c r="E15" s="250" t="s">
        <v>11</v>
      </c>
      <c r="F15" s="247" t="s">
        <v>910</v>
      </c>
      <c r="G15" s="248">
        <v>51060972</v>
      </c>
      <c r="H15" s="247" t="s">
        <v>361</v>
      </c>
      <c r="I15" s="247" t="s">
        <v>9</v>
      </c>
    </row>
    <row r="16" spans="1:9" s="249" customFormat="1" ht="50.25" customHeight="1">
      <c r="A16" s="245">
        <v>5</v>
      </c>
      <c r="B16" s="245">
        <v>1</v>
      </c>
      <c r="C16" s="245">
        <v>1</v>
      </c>
      <c r="D16" s="245">
        <v>4</v>
      </c>
      <c r="E16" s="251" t="s">
        <v>12</v>
      </c>
      <c r="F16" s="252" t="s">
        <v>910</v>
      </c>
      <c r="G16" s="253">
        <v>43884308</v>
      </c>
      <c r="H16" s="252" t="s">
        <v>361</v>
      </c>
      <c r="I16" s="254" t="s">
        <v>911</v>
      </c>
    </row>
    <row r="17" spans="1:13" s="249" customFormat="1" ht="27" customHeight="1">
      <c r="A17" s="245">
        <v>5</v>
      </c>
      <c r="B17" s="245">
        <v>1</v>
      </c>
      <c r="C17" s="245">
        <v>1</v>
      </c>
      <c r="D17" s="245">
        <v>5</v>
      </c>
      <c r="E17" s="250" t="s">
        <v>13</v>
      </c>
      <c r="F17" s="252" t="s">
        <v>910</v>
      </c>
      <c r="G17" s="253">
        <v>40625000</v>
      </c>
      <c r="H17" s="252" t="s">
        <v>361</v>
      </c>
      <c r="I17" s="252" t="s">
        <v>9</v>
      </c>
    </row>
    <row r="18" spans="1:13" s="249" customFormat="1" ht="35.25" customHeight="1">
      <c r="A18" s="245">
        <v>5</v>
      </c>
      <c r="B18" s="245">
        <v>1</v>
      </c>
      <c r="C18" s="245">
        <v>1</v>
      </c>
      <c r="D18" s="245">
        <v>6</v>
      </c>
      <c r="E18" s="251" t="s">
        <v>73</v>
      </c>
      <c r="F18" s="252" t="s">
        <v>910</v>
      </c>
      <c r="G18" s="253">
        <v>10000000</v>
      </c>
      <c r="H18" s="252" t="s">
        <v>361</v>
      </c>
      <c r="I18" s="252" t="s">
        <v>9</v>
      </c>
    </row>
    <row r="19" spans="1:13" s="249" customFormat="1" ht="16.5" customHeight="1">
      <c r="A19" s="245">
        <v>5</v>
      </c>
      <c r="B19" s="245">
        <v>1</v>
      </c>
      <c r="C19" s="245">
        <v>1</v>
      </c>
      <c r="D19" s="245">
        <v>7</v>
      </c>
      <c r="E19" s="250" t="s">
        <v>42</v>
      </c>
      <c r="F19" s="255" t="s">
        <v>910</v>
      </c>
      <c r="G19" s="255">
        <v>23100000</v>
      </c>
      <c r="H19" s="255" t="s">
        <v>361</v>
      </c>
      <c r="I19" s="255" t="s">
        <v>9</v>
      </c>
    </row>
    <row r="20" spans="1:13" s="230" customFormat="1" ht="23.25" customHeight="1">
      <c r="A20" s="241">
        <v>5</v>
      </c>
      <c r="B20" s="241">
        <v>1</v>
      </c>
      <c r="C20" s="241">
        <v>2</v>
      </c>
      <c r="D20" s="241"/>
      <c r="E20" s="256" t="s">
        <v>306</v>
      </c>
      <c r="F20" s="243" t="s">
        <v>910</v>
      </c>
      <c r="G20" s="244">
        <f>SUM(G21:G25)</f>
        <v>19900000</v>
      </c>
      <c r="H20" s="243" t="s">
        <v>361</v>
      </c>
      <c r="I20" s="243"/>
    </row>
    <row r="21" spans="1:13" s="249" customFormat="1" ht="23.25" customHeight="1">
      <c r="A21" s="257">
        <v>5</v>
      </c>
      <c r="B21" s="257">
        <v>1</v>
      </c>
      <c r="C21" s="257">
        <v>2</v>
      </c>
      <c r="D21" s="257">
        <v>2</v>
      </c>
      <c r="E21" s="250" t="s">
        <v>39</v>
      </c>
      <c r="F21" s="252" t="s">
        <v>910</v>
      </c>
      <c r="G21" s="253">
        <v>4000000</v>
      </c>
      <c r="H21" s="252" t="s">
        <v>361</v>
      </c>
      <c r="I21" s="252" t="s">
        <v>9</v>
      </c>
    </row>
    <row r="22" spans="1:13" s="249" customFormat="1" ht="23.25" customHeight="1">
      <c r="A22" s="257">
        <v>5</v>
      </c>
      <c r="B22" s="257">
        <v>1</v>
      </c>
      <c r="C22" s="257">
        <v>2</v>
      </c>
      <c r="D22" s="258">
        <v>90</v>
      </c>
      <c r="E22" s="250" t="s">
        <v>38</v>
      </c>
      <c r="F22" s="255" t="s">
        <v>910</v>
      </c>
      <c r="G22" s="255">
        <v>8000000</v>
      </c>
      <c r="H22" s="255" t="s">
        <v>361</v>
      </c>
      <c r="I22" s="255" t="s">
        <v>9</v>
      </c>
    </row>
    <row r="23" spans="1:13" s="249" customFormat="1" ht="23.25" customHeight="1">
      <c r="A23" s="257">
        <v>5</v>
      </c>
      <c r="B23" s="257">
        <v>1</v>
      </c>
      <c r="C23" s="257">
        <v>2</v>
      </c>
      <c r="D23" s="258">
        <v>92</v>
      </c>
      <c r="E23" s="250" t="s">
        <v>307</v>
      </c>
      <c r="F23" s="255" t="s">
        <v>910</v>
      </c>
      <c r="G23" s="255">
        <v>4700000</v>
      </c>
      <c r="H23" s="255" t="s">
        <v>361</v>
      </c>
      <c r="I23" s="255" t="s">
        <v>9</v>
      </c>
    </row>
    <row r="24" spans="1:13" s="230" customFormat="1" ht="23.25" customHeight="1">
      <c r="A24" s="257">
        <v>5</v>
      </c>
      <c r="B24" s="257">
        <v>1</v>
      </c>
      <c r="C24" s="257">
        <v>2</v>
      </c>
      <c r="D24" s="258">
        <v>94</v>
      </c>
      <c r="E24" s="251" t="s">
        <v>40</v>
      </c>
      <c r="F24" s="252" t="s">
        <v>910</v>
      </c>
      <c r="G24" s="253">
        <v>1500000</v>
      </c>
      <c r="H24" s="252" t="s">
        <v>361</v>
      </c>
      <c r="I24" s="252" t="s">
        <v>9</v>
      </c>
    </row>
    <row r="25" spans="1:13" s="230" customFormat="1" ht="23.25" customHeight="1">
      <c r="A25" s="257">
        <v>5</v>
      </c>
      <c r="B25" s="257">
        <v>1</v>
      </c>
      <c r="C25" s="257">
        <v>2</v>
      </c>
      <c r="D25" s="245">
        <v>95</v>
      </c>
      <c r="E25" s="250" t="s">
        <v>82</v>
      </c>
      <c r="F25" s="255" t="s">
        <v>910</v>
      </c>
      <c r="G25" s="259">
        <v>1700000</v>
      </c>
      <c r="H25" s="255" t="s">
        <v>361</v>
      </c>
      <c r="I25" s="255" t="s">
        <v>9</v>
      </c>
    </row>
    <row r="26" spans="1:13" s="230" customFormat="1" ht="30.75" customHeight="1">
      <c r="A26" s="260">
        <v>5</v>
      </c>
      <c r="B26" s="260">
        <v>1</v>
      </c>
      <c r="C26" s="260">
        <v>3</v>
      </c>
      <c r="D26" s="260"/>
      <c r="E26" s="261" t="s">
        <v>308</v>
      </c>
      <c r="F26" s="243" t="s">
        <v>910</v>
      </c>
      <c r="G26" s="244">
        <f>SUM(G27:G29)</f>
        <v>17360000</v>
      </c>
      <c r="H26" s="243" t="s">
        <v>361</v>
      </c>
      <c r="I26" s="243"/>
      <c r="M26" s="230">
        <f>222012500-130862500</f>
        <v>91150000</v>
      </c>
    </row>
    <row r="27" spans="1:13" s="215" customFormat="1" ht="26.25" customHeight="1">
      <c r="A27" s="258">
        <v>5</v>
      </c>
      <c r="B27" s="258">
        <v>1</v>
      </c>
      <c r="C27" s="258">
        <v>3</v>
      </c>
      <c r="D27" s="258">
        <v>2</v>
      </c>
      <c r="E27" s="262" t="s">
        <v>912</v>
      </c>
      <c r="F27" s="255" t="s">
        <v>910</v>
      </c>
      <c r="G27" s="259">
        <v>10000000</v>
      </c>
      <c r="H27" s="255" t="s">
        <v>361</v>
      </c>
      <c r="I27" s="255" t="s">
        <v>9</v>
      </c>
    </row>
    <row r="28" spans="1:13" s="215" customFormat="1" ht="26.25" customHeight="1">
      <c r="A28" s="258">
        <v>5</v>
      </c>
      <c r="B28" s="258">
        <v>1</v>
      </c>
      <c r="C28" s="258">
        <v>3</v>
      </c>
      <c r="D28" s="258">
        <v>90</v>
      </c>
      <c r="E28" s="250" t="s">
        <v>47</v>
      </c>
      <c r="F28" s="252" t="s">
        <v>910</v>
      </c>
      <c r="G28" s="253">
        <v>3600000</v>
      </c>
      <c r="H28" s="252" t="s">
        <v>361</v>
      </c>
      <c r="I28" s="252" t="s">
        <v>9</v>
      </c>
    </row>
    <row r="29" spans="1:13" s="215" customFormat="1" ht="26.25" customHeight="1">
      <c r="A29" s="258">
        <v>5</v>
      </c>
      <c r="B29" s="258">
        <v>1</v>
      </c>
      <c r="C29" s="258">
        <v>3</v>
      </c>
      <c r="D29" s="263">
        <v>91</v>
      </c>
      <c r="E29" s="250" t="s">
        <v>309</v>
      </c>
      <c r="F29" s="252" t="s">
        <v>910</v>
      </c>
      <c r="G29" s="253">
        <v>3760000</v>
      </c>
      <c r="H29" s="252" t="s">
        <v>361</v>
      </c>
      <c r="I29" s="252" t="s">
        <v>9</v>
      </c>
    </row>
    <row r="30" spans="1:13" s="230" customFormat="1" ht="39" customHeight="1">
      <c r="A30" s="260">
        <v>5</v>
      </c>
      <c r="B30" s="260">
        <v>1</v>
      </c>
      <c r="C30" s="260">
        <v>4</v>
      </c>
      <c r="D30" s="260"/>
      <c r="E30" s="264" t="s">
        <v>90</v>
      </c>
      <c r="F30" s="243" t="s">
        <v>910</v>
      </c>
      <c r="G30" s="244">
        <f>SUM(G31:G41)</f>
        <v>149999400</v>
      </c>
      <c r="H30" s="243" t="s">
        <v>361</v>
      </c>
      <c r="I30" s="243"/>
    </row>
    <row r="31" spans="1:13" s="230" customFormat="1" ht="36.75" customHeight="1">
      <c r="A31" s="265">
        <v>5</v>
      </c>
      <c r="B31" s="265">
        <v>1</v>
      </c>
      <c r="C31" s="265">
        <v>4</v>
      </c>
      <c r="D31" s="265">
        <v>1</v>
      </c>
      <c r="E31" s="266" t="s">
        <v>91</v>
      </c>
      <c r="F31" s="255" t="s">
        <v>910</v>
      </c>
      <c r="G31" s="259">
        <v>5000000</v>
      </c>
      <c r="H31" s="255" t="s">
        <v>361</v>
      </c>
      <c r="I31" s="255" t="s">
        <v>9</v>
      </c>
    </row>
    <row r="32" spans="1:13" s="230" customFormat="1" ht="29.25" customHeight="1">
      <c r="A32" s="265">
        <v>5</v>
      </c>
      <c r="B32" s="265">
        <v>1</v>
      </c>
      <c r="C32" s="265">
        <v>4</v>
      </c>
      <c r="D32" s="258">
        <v>3</v>
      </c>
      <c r="E32" s="251" t="s">
        <v>93</v>
      </c>
      <c r="F32" s="267" t="s">
        <v>910</v>
      </c>
      <c r="G32" s="268">
        <v>2980000</v>
      </c>
      <c r="H32" s="267" t="s">
        <v>361</v>
      </c>
      <c r="I32" s="267" t="s">
        <v>9</v>
      </c>
    </row>
    <row r="33" spans="1:9" s="270" customFormat="1" ht="35.25" customHeight="1">
      <c r="A33" s="265">
        <v>5</v>
      </c>
      <c r="B33" s="265">
        <v>1</v>
      </c>
      <c r="C33" s="265">
        <v>4</v>
      </c>
      <c r="D33" s="258">
        <v>4</v>
      </c>
      <c r="E33" s="269" t="s">
        <v>94</v>
      </c>
      <c r="F33" s="247" t="s">
        <v>910</v>
      </c>
      <c r="G33" s="248">
        <v>6300000</v>
      </c>
      <c r="H33" s="247" t="s">
        <v>361</v>
      </c>
      <c r="I33" s="247" t="s">
        <v>9</v>
      </c>
    </row>
    <row r="34" spans="1:9" s="230" customFormat="1" ht="24" customHeight="1">
      <c r="A34" s="265">
        <v>5</v>
      </c>
      <c r="B34" s="265">
        <v>1</v>
      </c>
      <c r="C34" s="265">
        <v>4</v>
      </c>
      <c r="D34" s="258">
        <v>5</v>
      </c>
      <c r="E34" s="246" t="s">
        <v>95</v>
      </c>
      <c r="F34" s="271" t="s">
        <v>910</v>
      </c>
      <c r="G34" s="272">
        <v>4400000</v>
      </c>
      <c r="H34" s="271" t="s">
        <v>361</v>
      </c>
      <c r="I34" s="271" t="s">
        <v>9</v>
      </c>
    </row>
    <row r="35" spans="1:9" s="230" customFormat="1" ht="36" customHeight="1">
      <c r="A35" s="265">
        <v>5</v>
      </c>
      <c r="B35" s="265">
        <v>1</v>
      </c>
      <c r="C35" s="265">
        <v>4</v>
      </c>
      <c r="D35" s="258">
        <v>6</v>
      </c>
      <c r="E35" s="246" t="s">
        <v>96</v>
      </c>
      <c r="F35" s="271" t="s">
        <v>910</v>
      </c>
      <c r="G35" s="272">
        <v>2980000</v>
      </c>
      <c r="H35" s="271" t="s">
        <v>361</v>
      </c>
      <c r="I35" s="271" t="s">
        <v>9</v>
      </c>
    </row>
    <row r="36" spans="1:9" s="230" customFormat="1" ht="62.25" customHeight="1">
      <c r="A36" s="273">
        <v>5</v>
      </c>
      <c r="B36" s="273">
        <v>1</v>
      </c>
      <c r="C36" s="273">
        <v>4</v>
      </c>
      <c r="D36" s="273">
        <v>7</v>
      </c>
      <c r="E36" s="251" t="s">
        <v>16</v>
      </c>
      <c r="F36" s="252" t="s">
        <v>910</v>
      </c>
      <c r="G36" s="253">
        <v>3100000</v>
      </c>
      <c r="H36" s="252" t="s">
        <v>361</v>
      </c>
      <c r="I36" s="252" t="s">
        <v>9</v>
      </c>
    </row>
    <row r="37" spans="1:9" s="215" customFormat="1" ht="26.25" customHeight="1">
      <c r="A37" s="258">
        <v>5</v>
      </c>
      <c r="B37" s="258">
        <v>1</v>
      </c>
      <c r="C37" s="258">
        <v>4</v>
      </c>
      <c r="D37" s="258">
        <v>8</v>
      </c>
      <c r="E37" s="246" t="s">
        <v>913</v>
      </c>
      <c r="F37" s="252" t="s">
        <v>910</v>
      </c>
      <c r="G37" s="253">
        <v>6000000</v>
      </c>
      <c r="H37" s="252" t="s">
        <v>361</v>
      </c>
      <c r="I37" s="252" t="s">
        <v>914</v>
      </c>
    </row>
    <row r="38" spans="1:9" s="230" customFormat="1" ht="37.5" customHeight="1">
      <c r="A38" s="265">
        <v>5</v>
      </c>
      <c r="B38" s="265">
        <v>1</v>
      </c>
      <c r="C38" s="265">
        <v>4</v>
      </c>
      <c r="D38" s="258">
        <v>10</v>
      </c>
      <c r="E38" s="246" t="s">
        <v>100</v>
      </c>
      <c r="F38" s="267" t="s">
        <v>910</v>
      </c>
      <c r="G38" s="268">
        <v>97839400</v>
      </c>
      <c r="H38" s="267" t="s">
        <v>361</v>
      </c>
      <c r="I38" s="267" t="s">
        <v>915</v>
      </c>
    </row>
    <row r="39" spans="1:9" s="230" customFormat="1" ht="21.75" customHeight="1">
      <c r="A39" s="265">
        <v>5</v>
      </c>
      <c r="B39" s="265">
        <v>1</v>
      </c>
      <c r="C39" s="265">
        <v>4</v>
      </c>
      <c r="D39" s="258">
        <v>90</v>
      </c>
      <c r="E39" s="250" t="s">
        <v>50</v>
      </c>
      <c r="F39" s="271" t="s">
        <v>910</v>
      </c>
      <c r="G39" s="272">
        <v>4300000</v>
      </c>
      <c r="H39" s="271" t="s">
        <v>361</v>
      </c>
      <c r="I39" s="271" t="s">
        <v>9</v>
      </c>
    </row>
    <row r="40" spans="1:9" s="249" customFormat="1" ht="21.75" customHeight="1">
      <c r="A40" s="265">
        <v>5</v>
      </c>
      <c r="B40" s="265">
        <v>1</v>
      </c>
      <c r="C40" s="265">
        <v>4</v>
      </c>
      <c r="D40" s="258">
        <v>92</v>
      </c>
      <c r="E40" s="250" t="s">
        <v>310</v>
      </c>
      <c r="F40" s="271" t="s">
        <v>910</v>
      </c>
      <c r="G40" s="272">
        <v>9000000</v>
      </c>
      <c r="H40" s="271" t="s">
        <v>361</v>
      </c>
      <c r="I40" s="271" t="s">
        <v>9</v>
      </c>
    </row>
    <row r="41" spans="1:9" s="249" customFormat="1" ht="21.75" customHeight="1">
      <c r="A41" s="265">
        <v>5</v>
      </c>
      <c r="B41" s="265">
        <v>1</v>
      </c>
      <c r="C41" s="265">
        <v>4</v>
      </c>
      <c r="D41" s="258">
        <v>95</v>
      </c>
      <c r="E41" s="250" t="s">
        <v>311</v>
      </c>
      <c r="F41" s="271" t="s">
        <v>910</v>
      </c>
      <c r="G41" s="272">
        <v>8100000</v>
      </c>
      <c r="H41" s="271" t="s">
        <v>361</v>
      </c>
      <c r="I41" s="271" t="s">
        <v>9</v>
      </c>
    </row>
    <row r="42" spans="1:9" s="230" customFormat="1" ht="21.75" customHeight="1">
      <c r="A42" s="260">
        <v>5</v>
      </c>
      <c r="B42" s="260">
        <v>1</v>
      </c>
      <c r="C42" s="260">
        <v>5</v>
      </c>
      <c r="D42" s="260"/>
      <c r="E42" s="256" t="s">
        <v>17</v>
      </c>
      <c r="F42" s="274" t="s">
        <v>910</v>
      </c>
      <c r="G42" s="275">
        <f>SUM(G43:G44)</f>
        <v>16500000</v>
      </c>
      <c r="H42" s="274" t="s">
        <v>361</v>
      </c>
      <c r="I42" s="274"/>
    </row>
    <row r="43" spans="1:9" s="249" customFormat="1" ht="33" customHeight="1">
      <c r="A43" s="258">
        <v>5</v>
      </c>
      <c r="B43" s="258">
        <v>1</v>
      </c>
      <c r="C43" s="258">
        <v>5</v>
      </c>
      <c r="D43" s="258">
        <v>93</v>
      </c>
      <c r="E43" s="246" t="s">
        <v>312</v>
      </c>
      <c r="F43" s="271" t="s">
        <v>910</v>
      </c>
      <c r="G43" s="272">
        <v>2500000</v>
      </c>
      <c r="H43" s="271" t="s">
        <v>361</v>
      </c>
      <c r="I43" s="271" t="s">
        <v>9</v>
      </c>
    </row>
    <row r="44" spans="1:9" s="230" customFormat="1" ht="23.25" customHeight="1">
      <c r="A44" s="258">
        <v>5</v>
      </c>
      <c r="B44" s="258">
        <v>1</v>
      </c>
      <c r="C44" s="258">
        <v>5</v>
      </c>
      <c r="D44" s="258">
        <v>94</v>
      </c>
      <c r="E44" s="250" t="s">
        <v>51</v>
      </c>
      <c r="F44" s="252" t="s">
        <v>910</v>
      </c>
      <c r="G44" s="253">
        <v>14000000</v>
      </c>
      <c r="H44" s="252" t="s">
        <v>361</v>
      </c>
      <c r="I44" s="252" t="s">
        <v>9</v>
      </c>
    </row>
    <row r="45" spans="1:9" s="230" customFormat="1" ht="23.25" customHeight="1">
      <c r="A45" s="276">
        <v>5</v>
      </c>
      <c r="B45" s="276">
        <v>2</v>
      </c>
      <c r="C45" s="276"/>
      <c r="D45" s="276"/>
      <c r="E45" s="277" t="s">
        <v>19</v>
      </c>
      <c r="F45" s="278"/>
      <c r="G45" s="279">
        <f>G46+G51+G60+G66+G68+G70</f>
        <v>1409869300</v>
      </c>
      <c r="H45" s="278" t="s">
        <v>361</v>
      </c>
      <c r="I45" s="278"/>
    </row>
    <row r="46" spans="1:9" s="230" customFormat="1" ht="23.25" customHeight="1">
      <c r="A46" s="260">
        <v>5</v>
      </c>
      <c r="B46" s="260">
        <v>2</v>
      </c>
      <c r="C46" s="260">
        <v>1</v>
      </c>
      <c r="D46" s="260"/>
      <c r="E46" s="256" t="s">
        <v>20</v>
      </c>
      <c r="F46" s="243" t="s">
        <v>910</v>
      </c>
      <c r="G46" s="244">
        <f>SUM(G47:G50)</f>
        <v>66000000</v>
      </c>
      <c r="H46" s="243" t="s">
        <v>361</v>
      </c>
      <c r="I46" s="243"/>
    </row>
    <row r="47" spans="1:9" s="230" customFormat="1" ht="48.75" customHeight="1">
      <c r="A47" s="258">
        <v>5</v>
      </c>
      <c r="B47" s="258">
        <v>2</v>
      </c>
      <c r="C47" s="258">
        <v>1</v>
      </c>
      <c r="D47" s="258">
        <v>1</v>
      </c>
      <c r="E47" s="251" t="s">
        <v>916</v>
      </c>
      <c r="F47" s="255" t="s">
        <v>910</v>
      </c>
      <c r="G47" s="280">
        <v>23300000</v>
      </c>
      <c r="H47" s="255" t="s">
        <v>361</v>
      </c>
      <c r="I47" s="255" t="s">
        <v>914</v>
      </c>
    </row>
    <row r="48" spans="1:9" s="230" customFormat="1" ht="24.75" customHeight="1">
      <c r="A48" s="258">
        <v>5</v>
      </c>
      <c r="B48" s="258">
        <v>2</v>
      </c>
      <c r="C48" s="258">
        <v>1</v>
      </c>
      <c r="D48" s="258">
        <v>2</v>
      </c>
      <c r="E48" s="250" t="s">
        <v>117</v>
      </c>
      <c r="F48" s="255" t="s">
        <v>910</v>
      </c>
      <c r="G48" s="280">
        <v>13000000</v>
      </c>
      <c r="H48" s="255" t="s">
        <v>361</v>
      </c>
      <c r="I48" s="255" t="s">
        <v>914</v>
      </c>
    </row>
    <row r="49" spans="1:9" s="230" customFormat="1" ht="33.75" customHeight="1">
      <c r="A49" s="258">
        <v>5</v>
      </c>
      <c r="B49" s="258">
        <v>2</v>
      </c>
      <c r="C49" s="258">
        <v>1</v>
      </c>
      <c r="D49" s="258">
        <v>8</v>
      </c>
      <c r="E49" s="251" t="s">
        <v>917</v>
      </c>
      <c r="F49" s="255" t="s">
        <v>910</v>
      </c>
      <c r="G49" s="259">
        <v>4700000</v>
      </c>
      <c r="H49" s="255" t="s">
        <v>361</v>
      </c>
      <c r="I49" s="255" t="s">
        <v>914</v>
      </c>
    </row>
    <row r="50" spans="1:9" s="351" customFormat="1" ht="21.75" customHeight="1">
      <c r="A50" s="347">
        <v>5</v>
      </c>
      <c r="B50" s="347">
        <v>2</v>
      </c>
      <c r="C50" s="347">
        <v>1</v>
      </c>
      <c r="D50" s="347">
        <v>90</v>
      </c>
      <c r="E50" s="348" t="s">
        <v>122</v>
      </c>
      <c r="F50" s="349" t="s">
        <v>910</v>
      </c>
      <c r="G50" s="350">
        <v>25000000</v>
      </c>
      <c r="H50" s="349" t="s">
        <v>361</v>
      </c>
      <c r="I50" s="349" t="s">
        <v>914</v>
      </c>
    </row>
    <row r="51" spans="1:9" s="281" customFormat="1" ht="21.75" customHeight="1">
      <c r="A51" s="260">
        <v>5</v>
      </c>
      <c r="B51" s="260">
        <v>2</v>
      </c>
      <c r="C51" s="260">
        <v>2</v>
      </c>
      <c r="D51" s="260"/>
      <c r="E51" s="256" t="s">
        <v>22</v>
      </c>
      <c r="F51" s="243" t="s">
        <v>910</v>
      </c>
      <c r="G51" s="244">
        <f>SUM(G52:G59)</f>
        <v>171180000</v>
      </c>
      <c r="H51" s="243" t="s">
        <v>361</v>
      </c>
      <c r="I51" s="243"/>
    </row>
    <row r="52" spans="1:9" s="230" customFormat="1" ht="36.75" customHeight="1">
      <c r="A52" s="258">
        <v>5</v>
      </c>
      <c r="B52" s="258">
        <v>2</v>
      </c>
      <c r="C52" s="258">
        <v>2</v>
      </c>
      <c r="D52" s="258">
        <v>1</v>
      </c>
      <c r="E52" s="246" t="s">
        <v>23</v>
      </c>
      <c r="F52" s="255" t="s">
        <v>910</v>
      </c>
      <c r="G52" s="259">
        <v>56120000</v>
      </c>
      <c r="H52" s="255" t="s">
        <v>361</v>
      </c>
      <c r="I52" s="255" t="s">
        <v>914</v>
      </c>
    </row>
    <row r="53" spans="1:9" s="351" customFormat="1" ht="35.25" customHeight="1">
      <c r="A53" s="347">
        <v>5</v>
      </c>
      <c r="B53" s="347">
        <v>2</v>
      </c>
      <c r="C53" s="347">
        <v>2</v>
      </c>
      <c r="D53" s="347">
        <v>3</v>
      </c>
      <c r="E53" s="352" t="s">
        <v>313</v>
      </c>
      <c r="F53" s="349" t="s">
        <v>910</v>
      </c>
      <c r="G53" s="350">
        <v>6000000</v>
      </c>
      <c r="H53" s="349" t="s">
        <v>361</v>
      </c>
      <c r="I53" s="349" t="s">
        <v>914</v>
      </c>
    </row>
    <row r="54" spans="1:9" s="230" customFormat="1" ht="21.75" customHeight="1">
      <c r="A54" s="258">
        <v>5</v>
      </c>
      <c r="B54" s="258">
        <v>2</v>
      </c>
      <c r="C54" s="258">
        <v>2</v>
      </c>
      <c r="D54" s="258">
        <v>4</v>
      </c>
      <c r="E54" s="250" t="s">
        <v>24</v>
      </c>
      <c r="F54" s="255" t="s">
        <v>910</v>
      </c>
      <c r="G54" s="259">
        <v>15000000</v>
      </c>
      <c r="H54" s="255" t="s">
        <v>361</v>
      </c>
      <c r="I54" s="255" t="s">
        <v>914</v>
      </c>
    </row>
    <row r="55" spans="1:9" s="230" customFormat="1" ht="41.25" customHeight="1">
      <c r="A55" s="258">
        <v>5</v>
      </c>
      <c r="B55" s="258">
        <v>2</v>
      </c>
      <c r="C55" s="258">
        <v>2</v>
      </c>
      <c r="D55" s="258">
        <v>9</v>
      </c>
      <c r="E55" s="251" t="s">
        <v>130</v>
      </c>
      <c r="F55" s="255" t="s">
        <v>910</v>
      </c>
      <c r="G55" s="259">
        <v>14000000</v>
      </c>
      <c r="H55" s="255" t="s">
        <v>361</v>
      </c>
      <c r="I55" s="255" t="s">
        <v>914</v>
      </c>
    </row>
    <row r="56" spans="1:9" s="249" customFormat="1" ht="21.75" customHeight="1">
      <c r="A56" s="258">
        <v>5</v>
      </c>
      <c r="B56" s="258">
        <v>2</v>
      </c>
      <c r="C56" s="258">
        <v>2</v>
      </c>
      <c r="D56" s="258">
        <v>90</v>
      </c>
      <c r="E56" s="250" t="s">
        <v>131</v>
      </c>
      <c r="F56" s="255" t="s">
        <v>910</v>
      </c>
      <c r="G56" s="259">
        <v>3500000</v>
      </c>
      <c r="H56" s="255" t="s">
        <v>361</v>
      </c>
      <c r="I56" s="255" t="s">
        <v>914</v>
      </c>
    </row>
    <row r="57" spans="1:9" s="249" customFormat="1" ht="21.75" customHeight="1">
      <c r="A57" s="258">
        <v>5</v>
      </c>
      <c r="B57" s="258">
        <v>2</v>
      </c>
      <c r="C57" s="258">
        <v>2</v>
      </c>
      <c r="D57" s="258">
        <v>91</v>
      </c>
      <c r="E57" s="250" t="s">
        <v>132</v>
      </c>
      <c r="F57" s="255" t="s">
        <v>910</v>
      </c>
      <c r="G57" s="259">
        <v>9600000</v>
      </c>
      <c r="H57" s="255" t="s">
        <v>361</v>
      </c>
      <c r="I57" s="255" t="s">
        <v>914</v>
      </c>
    </row>
    <row r="58" spans="1:9" s="230" customFormat="1" ht="21.75" customHeight="1">
      <c r="A58" s="258">
        <v>5</v>
      </c>
      <c r="B58" s="258">
        <v>2</v>
      </c>
      <c r="C58" s="258">
        <v>2</v>
      </c>
      <c r="D58" s="258">
        <v>94</v>
      </c>
      <c r="E58" s="251" t="s">
        <v>57</v>
      </c>
      <c r="F58" s="255" t="s">
        <v>910</v>
      </c>
      <c r="G58" s="259">
        <v>14040000</v>
      </c>
      <c r="H58" s="255" t="s">
        <v>361</v>
      </c>
      <c r="I58" s="255" t="s">
        <v>914</v>
      </c>
    </row>
    <row r="59" spans="1:9" s="230" customFormat="1" ht="21.75" customHeight="1">
      <c r="A59" s="258">
        <v>5</v>
      </c>
      <c r="B59" s="258">
        <v>2</v>
      </c>
      <c r="C59" s="258">
        <v>2</v>
      </c>
      <c r="D59" s="258">
        <v>98</v>
      </c>
      <c r="E59" s="250" t="s">
        <v>314</v>
      </c>
      <c r="F59" s="252" t="s">
        <v>910</v>
      </c>
      <c r="G59" s="253">
        <v>52920000</v>
      </c>
      <c r="H59" s="252" t="s">
        <v>361</v>
      </c>
      <c r="I59" s="252" t="s">
        <v>914</v>
      </c>
    </row>
    <row r="60" spans="1:9" s="281" customFormat="1" ht="36.75" customHeight="1">
      <c r="A60" s="260">
        <v>5</v>
      </c>
      <c r="B60" s="260">
        <v>2</v>
      </c>
      <c r="C60" s="260">
        <v>3</v>
      </c>
      <c r="D60" s="260"/>
      <c r="E60" s="256" t="s">
        <v>25</v>
      </c>
      <c r="F60" s="243" t="s">
        <v>910</v>
      </c>
      <c r="G60" s="244">
        <f>SUM(G61:G65)</f>
        <v>1091639300</v>
      </c>
      <c r="H60" s="243" t="s">
        <v>361</v>
      </c>
      <c r="I60" s="243"/>
    </row>
    <row r="61" spans="1:9" s="249" customFormat="1" ht="36.75" customHeight="1">
      <c r="A61" s="258">
        <v>5</v>
      </c>
      <c r="B61" s="258">
        <v>2</v>
      </c>
      <c r="C61" s="258">
        <v>3</v>
      </c>
      <c r="D61" s="258">
        <v>10</v>
      </c>
      <c r="E61" s="246" t="s">
        <v>918</v>
      </c>
      <c r="F61" s="255" t="s">
        <v>910</v>
      </c>
      <c r="G61" s="255">
        <v>540500000</v>
      </c>
      <c r="H61" s="255" t="s">
        <v>361</v>
      </c>
      <c r="I61" s="255" t="s">
        <v>919</v>
      </c>
    </row>
    <row r="62" spans="1:9" s="270" customFormat="1" ht="33" customHeight="1">
      <c r="A62" s="258">
        <v>5</v>
      </c>
      <c r="B62" s="258">
        <v>2</v>
      </c>
      <c r="C62" s="258">
        <v>3</v>
      </c>
      <c r="D62" s="258">
        <v>11</v>
      </c>
      <c r="E62" s="269" t="s">
        <v>920</v>
      </c>
      <c r="F62" s="255" t="s">
        <v>910</v>
      </c>
      <c r="G62" s="255">
        <v>168000000</v>
      </c>
      <c r="H62" s="255" t="s">
        <v>361</v>
      </c>
      <c r="I62" s="255" t="s">
        <v>914</v>
      </c>
    </row>
    <row r="63" spans="1:9" s="249" customFormat="1" ht="36.75" customHeight="1">
      <c r="A63" s="258">
        <v>5</v>
      </c>
      <c r="B63" s="258">
        <v>2</v>
      </c>
      <c r="C63" s="258">
        <v>3</v>
      </c>
      <c r="D63" s="258">
        <v>14</v>
      </c>
      <c r="E63" s="246" t="s">
        <v>921</v>
      </c>
      <c r="F63" s="282" t="s">
        <v>910</v>
      </c>
      <c r="G63" s="283">
        <f>249348800-14000000</f>
        <v>235348800</v>
      </c>
      <c r="H63" s="282" t="s">
        <v>361</v>
      </c>
      <c r="I63" s="282" t="s">
        <v>914</v>
      </c>
    </row>
    <row r="64" spans="1:9" s="249" customFormat="1" ht="30" customHeight="1">
      <c r="A64" s="258">
        <v>5</v>
      </c>
      <c r="B64" s="258">
        <v>2</v>
      </c>
      <c r="C64" s="258">
        <v>3</v>
      </c>
      <c r="D64" s="258">
        <v>15</v>
      </c>
      <c r="E64" s="246" t="s">
        <v>144</v>
      </c>
      <c r="F64" s="282" t="s">
        <v>910</v>
      </c>
      <c r="G64" s="283">
        <v>85000000</v>
      </c>
      <c r="H64" s="282" t="s">
        <v>361</v>
      </c>
      <c r="I64" s="282" t="s">
        <v>922</v>
      </c>
    </row>
    <row r="65" spans="1:9" s="288" customFormat="1" ht="30" customHeight="1">
      <c r="A65" s="284">
        <v>5</v>
      </c>
      <c r="B65" s="284">
        <v>2</v>
      </c>
      <c r="C65" s="284">
        <v>3</v>
      </c>
      <c r="D65" s="284">
        <v>20</v>
      </c>
      <c r="E65" s="285" t="s">
        <v>923</v>
      </c>
      <c r="F65" s="286" t="s">
        <v>910</v>
      </c>
      <c r="G65" s="287">
        <v>62790500</v>
      </c>
      <c r="H65" s="286" t="s">
        <v>361</v>
      </c>
      <c r="I65" s="286" t="s">
        <v>924</v>
      </c>
    </row>
    <row r="66" spans="1:9" s="230" customFormat="1" ht="33.75" customHeight="1">
      <c r="A66" s="260">
        <v>5</v>
      </c>
      <c r="B66" s="260">
        <v>2</v>
      </c>
      <c r="C66" s="260">
        <v>4</v>
      </c>
      <c r="D66" s="260"/>
      <c r="E66" s="289" t="s">
        <v>146</v>
      </c>
      <c r="F66" s="243" t="s">
        <v>910</v>
      </c>
      <c r="G66" s="290">
        <f>SUM(G67:G67)</f>
        <v>70000000</v>
      </c>
      <c r="H66" s="243" t="s">
        <v>361</v>
      </c>
      <c r="I66" s="243"/>
    </row>
    <row r="67" spans="1:9" s="249" customFormat="1" ht="33.75" customHeight="1">
      <c r="A67" s="258">
        <v>5</v>
      </c>
      <c r="B67" s="258">
        <v>2</v>
      </c>
      <c r="C67" s="258">
        <v>4</v>
      </c>
      <c r="D67" s="258">
        <v>91</v>
      </c>
      <c r="E67" s="250" t="s">
        <v>317</v>
      </c>
      <c r="F67" s="252" t="s">
        <v>910</v>
      </c>
      <c r="G67" s="253">
        <v>70000000</v>
      </c>
      <c r="H67" s="252" t="s">
        <v>361</v>
      </c>
      <c r="I67" s="252" t="s">
        <v>914</v>
      </c>
    </row>
    <row r="68" spans="1:9" s="215" customFormat="1" ht="33.75" customHeight="1">
      <c r="A68" s="260">
        <v>5</v>
      </c>
      <c r="B68" s="260">
        <v>2</v>
      </c>
      <c r="C68" s="260">
        <v>6</v>
      </c>
      <c r="D68" s="260"/>
      <c r="E68" s="291" t="s">
        <v>154</v>
      </c>
      <c r="F68" s="292" t="s">
        <v>910</v>
      </c>
      <c r="G68" s="293">
        <f>SUM(G69)</f>
        <v>8050000</v>
      </c>
      <c r="H68" s="292" t="s">
        <v>361</v>
      </c>
      <c r="I68" s="292"/>
    </row>
    <row r="69" spans="1:9" s="249" customFormat="1" ht="36.75" customHeight="1">
      <c r="A69" s="258">
        <v>5</v>
      </c>
      <c r="B69" s="258">
        <v>2</v>
      </c>
      <c r="C69" s="258">
        <v>6</v>
      </c>
      <c r="D69" s="258">
        <v>2</v>
      </c>
      <c r="E69" s="246" t="s">
        <v>28</v>
      </c>
      <c r="F69" s="247" t="s">
        <v>910</v>
      </c>
      <c r="G69" s="248">
        <v>8050000</v>
      </c>
      <c r="H69" s="247" t="s">
        <v>361</v>
      </c>
      <c r="I69" s="247" t="s">
        <v>914</v>
      </c>
    </row>
    <row r="70" spans="1:9" s="230" customFormat="1" ht="24" customHeight="1">
      <c r="A70" s="260">
        <v>5</v>
      </c>
      <c r="B70" s="260">
        <v>2</v>
      </c>
      <c r="C70" s="260">
        <v>8</v>
      </c>
      <c r="D70" s="260"/>
      <c r="E70" s="289" t="s">
        <v>29</v>
      </c>
      <c r="F70" s="243" t="s">
        <v>910</v>
      </c>
      <c r="G70" s="290">
        <f>SUM(G71:G71)</f>
        <v>3000000</v>
      </c>
      <c r="H70" s="243" t="s">
        <v>361</v>
      </c>
      <c r="I70" s="243"/>
    </row>
    <row r="71" spans="1:9" s="230" customFormat="1" ht="24" customHeight="1">
      <c r="A71" s="258">
        <v>5</v>
      </c>
      <c r="B71" s="258">
        <v>2</v>
      </c>
      <c r="C71" s="258">
        <v>8</v>
      </c>
      <c r="D71" s="258">
        <v>93</v>
      </c>
      <c r="E71" s="294" t="s">
        <v>161</v>
      </c>
      <c r="F71" s="247" t="s">
        <v>910</v>
      </c>
      <c r="G71" s="248">
        <v>3000000</v>
      </c>
      <c r="H71" s="247" t="s">
        <v>361</v>
      </c>
      <c r="I71" s="247" t="s">
        <v>914</v>
      </c>
    </row>
    <row r="72" spans="1:9" s="230" customFormat="1" ht="24" customHeight="1">
      <c r="A72" s="295">
        <v>5</v>
      </c>
      <c r="B72" s="295">
        <v>3</v>
      </c>
      <c r="C72" s="295"/>
      <c r="D72" s="295"/>
      <c r="E72" s="234" t="s">
        <v>163</v>
      </c>
      <c r="F72" s="235"/>
      <c r="G72" s="236">
        <f>G73+G77+G83+G89</f>
        <v>122352440</v>
      </c>
      <c r="H72" s="235" t="s">
        <v>361</v>
      </c>
      <c r="I72" s="235"/>
    </row>
    <row r="73" spans="1:9" s="230" customFormat="1" ht="39" customHeight="1">
      <c r="A73" s="260">
        <v>5</v>
      </c>
      <c r="B73" s="260">
        <v>3</v>
      </c>
      <c r="C73" s="260">
        <v>1</v>
      </c>
      <c r="D73" s="260"/>
      <c r="E73" s="296" t="s">
        <v>164</v>
      </c>
      <c r="F73" s="292" t="s">
        <v>910</v>
      </c>
      <c r="G73" s="293">
        <f>SUM(G74:G76)</f>
        <v>56675000</v>
      </c>
      <c r="H73" s="292" t="s">
        <v>361</v>
      </c>
      <c r="I73" s="292"/>
    </row>
    <row r="74" spans="1:9" s="351" customFormat="1" ht="33.75" customHeight="1">
      <c r="A74" s="347">
        <v>5</v>
      </c>
      <c r="B74" s="347">
        <v>3</v>
      </c>
      <c r="C74" s="347">
        <v>1</v>
      </c>
      <c r="D74" s="347">
        <v>2</v>
      </c>
      <c r="E74" s="352" t="s">
        <v>166</v>
      </c>
      <c r="F74" s="353" t="s">
        <v>910</v>
      </c>
      <c r="G74" s="354">
        <v>3175000</v>
      </c>
      <c r="H74" s="353" t="s">
        <v>361</v>
      </c>
      <c r="I74" s="353" t="s">
        <v>31</v>
      </c>
    </row>
    <row r="75" spans="1:9" s="351" customFormat="1" ht="21.75" customHeight="1">
      <c r="A75" s="347">
        <v>5</v>
      </c>
      <c r="B75" s="347">
        <v>3</v>
      </c>
      <c r="C75" s="347">
        <v>1</v>
      </c>
      <c r="D75" s="355" t="s">
        <v>319</v>
      </c>
      <c r="E75" s="348" t="s">
        <v>320</v>
      </c>
      <c r="F75" s="353" t="s">
        <v>910</v>
      </c>
      <c r="G75" s="354">
        <v>3500000</v>
      </c>
      <c r="H75" s="353" t="s">
        <v>361</v>
      </c>
      <c r="I75" s="353" t="s">
        <v>31</v>
      </c>
    </row>
    <row r="76" spans="1:9" s="288" customFormat="1" ht="21.75" customHeight="1">
      <c r="A76" s="284">
        <v>5</v>
      </c>
      <c r="B76" s="284">
        <v>3</v>
      </c>
      <c r="C76" s="284">
        <v>1</v>
      </c>
      <c r="D76" s="298" t="s">
        <v>925</v>
      </c>
      <c r="E76" s="299" t="s">
        <v>171</v>
      </c>
      <c r="F76" s="300" t="s">
        <v>910</v>
      </c>
      <c r="G76" s="301">
        <v>50000000</v>
      </c>
      <c r="H76" s="300" t="s">
        <v>361</v>
      </c>
      <c r="I76" s="300" t="s">
        <v>924</v>
      </c>
    </row>
    <row r="77" spans="1:9" s="230" customFormat="1" ht="21.75" customHeight="1">
      <c r="A77" s="260">
        <v>5</v>
      </c>
      <c r="B77" s="260">
        <v>3</v>
      </c>
      <c r="C77" s="260">
        <v>2</v>
      </c>
      <c r="D77" s="260"/>
      <c r="E77" s="296" t="s">
        <v>176</v>
      </c>
      <c r="F77" s="292" t="s">
        <v>910</v>
      </c>
      <c r="G77" s="293">
        <f>SUM(G78:G82)</f>
        <v>24250000</v>
      </c>
      <c r="H77" s="292" t="s">
        <v>361</v>
      </c>
      <c r="I77" s="292"/>
    </row>
    <row r="78" spans="1:9" s="351" customFormat="1" ht="34.5" customHeight="1">
      <c r="A78" s="347">
        <v>5</v>
      </c>
      <c r="B78" s="347">
        <v>3</v>
      </c>
      <c r="C78" s="347">
        <v>2</v>
      </c>
      <c r="D78" s="347">
        <v>3</v>
      </c>
      <c r="E78" s="356" t="s">
        <v>178</v>
      </c>
      <c r="F78" s="357" t="s">
        <v>910</v>
      </c>
      <c r="G78" s="358">
        <v>9000000</v>
      </c>
      <c r="H78" s="357" t="s">
        <v>361</v>
      </c>
      <c r="I78" s="357" t="s">
        <v>321</v>
      </c>
    </row>
    <row r="79" spans="1:9" s="351" customFormat="1" ht="37.5" customHeight="1">
      <c r="A79" s="347">
        <v>5</v>
      </c>
      <c r="B79" s="347">
        <v>3</v>
      </c>
      <c r="C79" s="347">
        <v>2</v>
      </c>
      <c r="D79" s="347">
        <v>4</v>
      </c>
      <c r="E79" s="352" t="s">
        <v>322</v>
      </c>
      <c r="F79" s="353" t="s">
        <v>910</v>
      </c>
      <c r="G79" s="354">
        <v>2000000</v>
      </c>
      <c r="H79" s="353" t="s">
        <v>361</v>
      </c>
      <c r="I79" s="353" t="s">
        <v>31</v>
      </c>
    </row>
    <row r="80" spans="1:9" s="351" customFormat="1" ht="24.75" customHeight="1">
      <c r="A80" s="347">
        <v>5</v>
      </c>
      <c r="B80" s="347">
        <v>3</v>
      </c>
      <c r="C80" s="347">
        <v>2</v>
      </c>
      <c r="D80" s="347">
        <v>90</v>
      </c>
      <c r="E80" s="348" t="s">
        <v>59</v>
      </c>
      <c r="F80" s="353" t="s">
        <v>910</v>
      </c>
      <c r="G80" s="354">
        <v>6750000</v>
      </c>
      <c r="H80" s="353" t="s">
        <v>361</v>
      </c>
      <c r="I80" s="353" t="s">
        <v>31</v>
      </c>
    </row>
    <row r="81" spans="1:9" s="351" customFormat="1" ht="24.75" customHeight="1">
      <c r="A81" s="347">
        <v>5</v>
      </c>
      <c r="B81" s="347">
        <v>3</v>
      </c>
      <c r="C81" s="347">
        <v>2</v>
      </c>
      <c r="D81" s="347">
        <v>91</v>
      </c>
      <c r="E81" s="348" t="s">
        <v>58</v>
      </c>
      <c r="F81" s="353" t="s">
        <v>910</v>
      </c>
      <c r="G81" s="354">
        <v>4500000</v>
      </c>
      <c r="H81" s="353" t="s">
        <v>361</v>
      </c>
      <c r="I81" s="353" t="s">
        <v>31</v>
      </c>
    </row>
    <row r="82" spans="1:9" s="351" customFormat="1" ht="33" customHeight="1">
      <c r="A82" s="347">
        <v>5</v>
      </c>
      <c r="B82" s="347">
        <v>3</v>
      </c>
      <c r="C82" s="347">
        <v>2</v>
      </c>
      <c r="D82" s="347">
        <v>92</v>
      </c>
      <c r="E82" s="356" t="s">
        <v>926</v>
      </c>
      <c r="F82" s="353" t="s">
        <v>910</v>
      </c>
      <c r="G82" s="354">
        <v>2000000</v>
      </c>
      <c r="H82" s="353" t="s">
        <v>361</v>
      </c>
      <c r="I82" s="353" t="s">
        <v>31</v>
      </c>
    </row>
    <row r="83" spans="1:9" s="230" customFormat="1" ht="24.75" customHeight="1">
      <c r="A83" s="260">
        <v>5</v>
      </c>
      <c r="B83" s="260">
        <v>3</v>
      </c>
      <c r="C83" s="260">
        <v>3</v>
      </c>
      <c r="D83" s="260"/>
      <c r="E83" s="296" t="s">
        <v>182</v>
      </c>
      <c r="F83" s="292" t="s">
        <v>910</v>
      </c>
      <c r="G83" s="293">
        <f>SUM(G84:G88)</f>
        <v>27862240</v>
      </c>
      <c r="H83" s="292" t="s">
        <v>361</v>
      </c>
      <c r="I83" s="292"/>
    </row>
    <row r="84" spans="1:9" s="351" customFormat="1" ht="36.75" customHeight="1">
      <c r="A84" s="347">
        <v>5</v>
      </c>
      <c r="B84" s="347">
        <v>3</v>
      </c>
      <c r="C84" s="347">
        <v>3</v>
      </c>
      <c r="D84" s="347">
        <v>1</v>
      </c>
      <c r="E84" s="352" t="s">
        <v>183</v>
      </c>
      <c r="F84" s="353" t="s">
        <v>910</v>
      </c>
      <c r="G84" s="354">
        <v>2000000</v>
      </c>
      <c r="H84" s="353" t="s">
        <v>361</v>
      </c>
      <c r="I84" s="353" t="s">
        <v>31</v>
      </c>
    </row>
    <row r="85" spans="1:9" s="351" customFormat="1" ht="36" customHeight="1">
      <c r="A85" s="347">
        <v>5</v>
      </c>
      <c r="B85" s="347">
        <v>3</v>
      </c>
      <c r="C85" s="347">
        <v>3</v>
      </c>
      <c r="D85" s="347">
        <v>3</v>
      </c>
      <c r="E85" s="356" t="s">
        <v>185</v>
      </c>
      <c r="F85" s="353" t="s">
        <v>910</v>
      </c>
      <c r="G85" s="354">
        <v>16212240</v>
      </c>
      <c r="H85" s="353" t="s">
        <v>361</v>
      </c>
      <c r="I85" s="353" t="s">
        <v>927</v>
      </c>
    </row>
    <row r="86" spans="1:9" s="351" customFormat="1" ht="33.75" customHeight="1">
      <c r="A86" s="347">
        <v>5</v>
      </c>
      <c r="B86" s="347">
        <v>3</v>
      </c>
      <c r="C86" s="347">
        <v>3</v>
      </c>
      <c r="D86" s="347">
        <v>5</v>
      </c>
      <c r="E86" s="356" t="s">
        <v>187</v>
      </c>
      <c r="F86" s="349" t="s">
        <v>910</v>
      </c>
      <c r="G86" s="349">
        <v>2650000</v>
      </c>
      <c r="H86" s="349" t="s">
        <v>361</v>
      </c>
      <c r="I86" s="349" t="s">
        <v>9</v>
      </c>
    </row>
    <row r="87" spans="1:9" s="351" customFormat="1" ht="29.25" customHeight="1">
      <c r="A87" s="347">
        <v>5</v>
      </c>
      <c r="B87" s="347">
        <v>3</v>
      </c>
      <c r="C87" s="347">
        <v>3</v>
      </c>
      <c r="D87" s="347">
        <v>90</v>
      </c>
      <c r="E87" s="356" t="s">
        <v>189</v>
      </c>
      <c r="F87" s="359" t="s">
        <v>910</v>
      </c>
      <c r="G87" s="360">
        <v>2000000</v>
      </c>
      <c r="H87" s="359" t="s">
        <v>361</v>
      </c>
      <c r="I87" s="359" t="s">
        <v>31</v>
      </c>
    </row>
    <row r="88" spans="1:9" s="249" customFormat="1" ht="29.25" customHeight="1">
      <c r="A88" s="258">
        <v>5</v>
      </c>
      <c r="B88" s="258">
        <v>3</v>
      </c>
      <c r="C88" s="258">
        <v>3</v>
      </c>
      <c r="D88" s="258">
        <v>93</v>
      </c>
      <c r="E88" s="250" t="s">
        <v>45</v>
      </c>
      <c r="F88" s="255" t="s">
        <v>910</v>
      </c>
      <c r="G88" s="259">
        <v>5000000</v>
      </c>
      <c r="H88" s="255" t="s">
        <v>361</v>
      </c>
      <c r="I88" s="255" t="s">
        <v>9</v>
      </c>
    </row>
    <row r="89" spans="1:9" s="230" customFormat="1" ht="27" customHeight="1">
      <c r="A89" s="260">
        <v>5</v>
      </c>
      <c r="B89" s="260">
        <v>3</v>
      </c>
      <c r="C89" s="260">
        <v>4</v>
      </c>
      <c r="D89" s="260"/>
      <c r="E89" s="296" t="s">
        <v>193</v>
      </c>
      <c r="F89" s="292" t="s">
        <v>910</v>
      </c>
      <c r="G89" s="293">
        <f>SUM(G90:G92)</f>
        <v>13565200</v>
      </c>
      <c r="H89" s="292" t="s">
        <v>361</v>
      </c>
      <c r="I89" s="292"/>
    </row>
    <row r="90" spans="1:9" s="230" customFormat="1" ht="37.5" customHeight="1">
      <c r="A90" s="258">
        <v>5</v>
      </c>
      <c r="B90" s="258">
        <v>3</v>
      </c>
      <c r="C90" s="258">
        <v>4</v>
      </c>
      <c r="D90" s="258">
        <v>92</v>
      </c>
      <c r="E90" s="246" t="s">
        <v>194</v>
      </c>
      <c r="F90" s="255" t="s">
        <v>910</v>
      </c>
      <c r="G90" s="255">
        <v>3315200</v>
      </c>
      <c r="H90" s="255" t="s">
        <v>361</v>
      </c>
      <c r="I90" s="255" t="s">
        <v>31</v>
      </c>
    </row>
    <row r="91" spans="1:9" s="249" customFormat="1" ht="27" customHeight="1">
      <c r="A91" s="258">
        <v>5</v>
      </c>
      <c r="B91" s="258">
        <v>3</v>
      </c>
      <c r="C91" s="258">
        <v>4</v>
      </c>
      <c r="D91" s="258">
        <v>95</v>
      </c>
      <c r="E91" s="250" t="s">
        <v>44</v>
      </c>
      <c r="F91" s="255" t="s">
        <v>910</v>
      </c>
      <c r="G91" s="259">
        <v>5000000</v>
      </c>
      <c r="H91" s="255" t="s">
        <v>361</v>
      </c>
      <c r="I91" s="255" t="s">
        <v>46</v>
      </c>
    </row>
    <row r="92" spans="1:9" s="249" customFormat="1" ht="27" customHeight="1">
      <c r="A92" s="258">
        <v>5</v>
      </c>
      <c r="B92" s="258">
        <v>3</v>
      </c>
      <c r="C92" s="258">
        <v>4</v>
      </c>
      <c r="D92" s="258">
        <v>96</v>
      </c>
      <c r="E92" s="250" t="s">
        <v>43</v>
      </c>
      <c r="F92" s="255" t="s">
        <v>910</v>
      </c>
      <c r="G92" s="259">
        <v>5250000</v>
      </c>
      <c r="H92" s="255" t="s">
        <v>361</v>
      </c>
      <c r="I92" s="255" t="s">
        <v>46</v>
      </c>
    </row>
    <row r="93" spans="1:9" s="281" customFormat="1" ht="27" customHeight="1">
      <c r="A93" s="295">
        <v>5</v>
      </c>
      <c r="B93" s="295">
        <v>4</v>
      </c>
      <c r="C93" s="295"/>
      <c r="D93" s="295"/>
      <c r="E93" s="234" t="s">
        <v>198</v>
      </c>
      <c r="F93" s="235"/>
      <c r="G93" s="236">
        <f>G94+G98+G101+G109+G112</f>
        <v>139500000</v>
      </c>
      <c r="H93" s="235" t="s">
        <v>361</v>
      </c>
      <c r="I93" s="235"/>
    </row>
    <row r="94" spans="1:9" s="230" customFormat="1" ht="27" customHeight="1">
      <c r="A94" s="260">
        <v>5</v>
      </c>
      <c r="B94" s="260">
        <v>4</v>
      </c>
      <c r="C94" s="260">
        <v>2</v>
      </c>
      <c r="D94" s="260"/>
      <c r="E94" s="296" t="s">
        <v>200</v>
      </c>
      <c r="F94" s="292" t="s">
        <v>910</v>
      </c>
      <c r="G94" s="293">
        <f>SUM(G95:G97)</f>
        <v>41500000</v>
      </c>
      <c r="H94" s="292" t="s">
        <v>361</v>
      </c>
      <c r="I94" s="292"/>
    </row>
    <row r="95" spans="1:9" s="351" customFormat="1" ht="39" customHeight="1">
      <c r="A95" s="347">
        <v>5</v>
      </c>
      <c r="B95" s="347">
        <v>4</v>
      </c>
      <c r="C95" s="347">
        <v>2</v>
      </c>
      <c r="D95" s="347">
        <v>2</v>
      </c>
      <c r="E95" s="356" t="s">
        <v>323</v>
      </c>
      <c r="F95" s="353" t="s">
        <v>910</v>
      </c>
      <c r="G95" s="354">
        <v>30000000</v>
      </c>
      <c r="H95" s="353" t="s">
        <v>361</v>
      </c>
      <c r="I95" s="353" t="s">
        <v>914</v>
      </c>
    </row>
    <row r="96" spans="1:9" s="351" customFormat="1" ht="33.75" customHeight="1">
      <c r="A96" s="347">
        <v>5</v>
      </c>
      <c r="B96" s="347">
        <v>4</v>
      </c>
      <c r="C96" s="347">
        <v>2</v>
      </c>
      <c r="D96" s="347">
        <v>5</v>
      </c>
      <c r="E96" s="356" t="s">
        <v>324</v>
      </c>
      <c r="F96" s="353" t="s">
        <v>910</v>
      </c>
      <c r="G96" s="354">
        <v>6000000</v>
      </c>
      <c r="H96" s="353" t="s">
        <v>361</v>
      </c>
      <c r="I96" s="353" t="s">
        <v>914</v>
      </c>
    </row>
    <row r="97" spans="1:9" s="351" customFormat="1" ht="27" customHeight="1">
      <c r="A97" s="347">
        <v>5</v>
      </c>
      <c r="B97" s="347">
        <v>4</v>
      </c>
      <c r="C97" s="347">
        <v>2</v>
      </c>
      <c r="D97" s="347">
        <v>92</v>
      </c>
      <c r="E97" s="356" t="s">
        <v>203</v>
      </c>
      <c r="F97" s="353" t="s">
        <v>910</v>
      </c>
      <c r="G97" s="354">
        <v>5500000</v>
      </c>
      <c r="H97" s="353" t="s">
        <v>361</v>
      </c>
      <c r="I97" s="353" t="s">
        <v>914</v>
      </c>
    </row>
    <row r="98" spans="1:9" s="230" customFormat="1" ht="24.75" customHeight="1">
      <c r="A98" s="260">
        <v>5</v>
      </c>
      <c r="B98" s="260">
        <v>4</v>
      </c>
      <c r="C98" s="260">
        <v>3</v>
      </c>
      <c r="D98" s="260"/>
      <c r="E98" s="261" t="s">
        <v>206</v>
      </c>
      <c r="F98" s="302" t="s">
        <v>910</v>
      </c>
      <c r="G98" s="303">
        <f>SUM(G99:G100)</f>
        <v>17000000</v>
      </c>
      <c r="H98" s="302" t="s">
        <v>361</v>
      </c>
      <c r="I98" s="302"/>
    </row>
    <row r="99" spans="1:9" s="230" customFormat="1" ht="24.75" customHeight="1">
      <c r="A99" s="258">
        <v>5</v>
      </c>
      <c r="B99" s="258">
        <v>4</v>
      </c>
      <c r="C99" s="258">
        <v>3</v>
      </c>
      <c r="D99" s="258">
        <v>2</v>
      </c>
      <c r="E99" s="246" t="s">
        <v>207</v>
      </c>
      <c r="F99" s="252" t="s">
        <v>910</v>
      </c>
      <c r="G99" s="253">
        <v>12000000</v>
      </c>
      <c r="H99" s="252" t="s">
        <v>361</v>
      </c>
      <c r="I99" s="252" t="s">
        <v>914</v>
      </c>
    </row>
    <row r="100" spans="1:9" s="249" customFormat="1" ht="24.75" customHeight="1">
      <c r="A100" s="258">
        <v>5</v>
      </c>
      <c r="B100" s="258">
        <v>4</v>
      </c>
      <c r="C100" s="258">
        <v>3</v>
      </c>
      <c r="D100" s="258">
        <v>3</v>
      </c>
      <c r="E100" s="246" t="s">
        <v>208</v>
      </c>
      <c r="F100" s="252" t="s">
        <v>910</v>
      </c>
      <c r="G100" s="253">
        <v>5000000</v>
      </c>
      <c r="H100" s="252" t="s">
        <v>361</v>
      </c>
      <c r="I100" s="252" t="s">
        <v>914</v>
      </c>
    </row>
    <row r="101" spans="1:9" s="230" customFormat="1" ht="36.75" customHeight="1">
      <c r="A101" s="260">
        <v>5</v>
      </c>
      <c r="B101" s="260">
        <v>4</v>
      </c>
      <c r="C101" s="260">
        <v>4</v>
      </c>
      <c r="D101" s="260"/>
      <c r="E101" s="296" t="s">
        <v>210</v>
      </c>
      <c r="F101" s="292" t="s">
        <v>910</v>
      </c>
      <c r="G101" s="293">
        <f>SUM(G102:G108)</f>
        <v>44000000</v>
      </c>
      <c r="H101" s="292" t="s">
        <v>361</v>
      </c>
      <c r="I101" s="292"/>
    </row>
    <row r="102" spans="1:9" s="351" customFormat="1" ht="24" customHeight="1">
      <c r="A102" s="347">
        <v>5</v>
      </c>
      <c r="B102" s="347">
        <v>4</v>
      </c>
      <c r="C102" s="347">
        <v>4</v>
      </c>
      <c r="D102" s="347">
        <v>1</v>
      </c>
      <c r="E102" s="356" t="s">
        <v>325</v>
      </c>
      <c r="F102" s="353" t="s">
        <v>910</v>
      </c>
      <c r="G102" s="354">
        <v>7000000</v>
      </c>
      <c r="H102" s="353" t="s">
        <v>361</v>
      </c>
      <c r="I102" s="353" t="s">
        <v>914</v>
      </c>
    </row>
    <row r="103" spans="1:9" s="351" customFormat="1" ht="24" customHeight="1">
      <c r="A103" s="347">
        <v>5</v>
      </c>
      <c r="B103" s="347">
        <v>4</v>
      </c>
      <c r="C103" s="347">
        <v>4</v>
      </c>
      <c r="D103" s="347">
        <v>2</v>
      </c>
      <c r="E103" s="356" t="s">
        <v>326</v>
      </c>
      <c r="F103" s="353" t="s">
        <v>910</v>
      </c>
      <c r="G103" s="354">
        <v>7000000</v>
      </c>
      <c r="H103" s="353" t="s">
        <v>361</v>
      </c>
      <c r="I103" s="353" t="s">
        <v>914</v>
      </c>
    </row>
    <row r="104" spans="1:9" s="351" customFormat="1" ht="24" customHeight="1">
      <c r="A104" s="347">
        <v>5</v>
      </c>
      <c r="B104" s="347">
        <v>4</v>
      </c>
      <c r="C104" s="347">
        <v>4</v>
      </c>
      <c r="D104" s="347">
        <v>90</v>
      </c>
      <c r="E104" s="356" t="s">
        <v>327</v>
      </c>
      <c r="F104" s="353" t="s">
        <v>910</v>
      </c>
      <c r="G104" s="354">
        <v>4500000</v>
      </c>
      <c r="H104" s="353" t="s">
        <v>361</v>
      </c>
      <c r="I104" s="353" t="s">
        <v>914</v>
      </c>
    </row>
    <row r="105" spans="1:9" s="351" customFormat="1" ht="24" customHeight="1">
      <c r="A105" s="347">
        <v>5</v>
      </c>
      <c r="B105" s="347">
        <v>4</v>
      </c>
      <c r="C105" s="347">
        <v>4</v>
      </c>
      <c r="D105" s="347">
        <v>91</v>
      </c>
      <c r="E105" s="356" t="s">
        <v>213</v>
      </c>
      <c r="F105" s="353" t="s">
        <v>910</v>
      </c>
      <c r="G105" s="354">
        <v>6500000</v>
      </c>
      <c r="H105" s="353" t="s">
        <v>361</v>
      </c>
      <c r="I105" s="353" t="s">
        <v>914</v>
      </c>
    </row>
    <row r="106" spans="1:9" s="230" customFormat="1" ht="24" customHeight="1">
      <c r="A106" s="258">
        <v>5</v>
      </c>
      <c r="B106" s="258">
        <v>4</v>
      </c>
      <c r="C106" s="258">
        <v>4</v>
      </c>
      <c r="D106" s="258">
        <v>92</v>
      </c>
      <c r="E106" s="246" t="s">
        <v>214</v>
      </c>
      <c r="F106" s="252" t="s">
        <v>910</v>
      </c>
      <c r="G106" s="253">
        <v>5500000</v>
      </c>
      <c r="H106" s="252" t="s">
        <v>361</v>
      </c>
      <c r="I106" s="252" t="s">
        <v>914</v>
      </c>
    </row>
    <row r="107" spans="1:9" s="351" customFormat="1" ht="24" customHeight="1">
      <c r="A107" s="347">
        <v>5</v>
      </c>
      <c r="B107" s="347">
        <v>4</v>
      </c>
      <c r="C107" s="347">
        <v>4</v>
      </c>
      <c r="D107" s="347">
        <v>96</v>
      </c>
      <c r="E107" s="356" t="s">
        <v>216</v>
      </c>
      <c r="F107" s="353" t="s">
        <v>910</v>
      </c>
      <c r="G107" s="354">
        <v>6500000</v>
      </c>
      <c r="H107" s="353" t="s">
        <v>361</v>
      </c>
      <c r="I107" s="353" t="s">
        <v>914</v>
      </c>
    </row>
    <row r="108" spans="1:9" s="351" customFormat="1" ht="24" customHeight="1">
      <c r="A108" s="347">
        <v>5</v>
      </c>
      <c r="B108" s="347">
        <v>4</v>
      </c>
      <c r="C108" s="347">
        <v>4</v>
      </c>
      <c r="D108" s="347">
        <v>99</v>
      </c>
      <c r="E108" s="356" t="s">
        <v>328</v>
      </c>
      <c r="F108" s="353" t="s">
        <v>910</v>
      </c>
      <c r="G108" s="354">
        <v>7000000</v>
      </c>
      <c r="H108" s="353" t="s">
        <v>361</v>
      </c>
      <c r="I108" s="353" t="s">
        <v>914</v>
      </c>
    </row>
    <row r="109" spans="1:9" s="230" customFormat="1" ht="24" customHeight="1">
      <c r="A109" s="260">
        <v>5</v>
      </c>
      <c r="B109" s="260">
        <v>4</v>
      </c>
      <c r="C109" s="260">
        <v>6</v>
      </c>
      <c r="D109" s="260"/>
      <c r="E109" s="296" t="s">
        <v>217</v>
      </c>
      <c r="F109" s="292" t="s">
        <v>910</v>
      </c>
      <c r="G109" s="293">
        <f>SUM(G110:G111)</f>
        <v>27000000</v>
      </c>
      <c r="H109" s="292" t="s">
        <v>361</v>
      </c>
      <c r="I109" s="292"/>
    </row>
    <row r="110" spans="1:9" s="351" customFormat="1" ht="24" customHeight="1">
      <c r="A110" s="347">
        <v>5</v>
      </c>
      <c r="B110" s="347">
        <v>4</v>
      </c>
      <c r="C110" s="347">
        <v>6</v>
      </c>
      <c r="D110" s="347">
        <v>1</v>
      </c>
      <c r="E110" s="348" t="s">
        <v>329</v>
      </c>
      <c r="F110" s="359" t="s">
        <v>910</v>
      </c>
      <c r="G110" s="360">
        <v>7000000</v>
      </c>
      <c r="H110" s="359" t="s">
        <v>361</v>
      </c>
      <c r="I110" s="359" t="s">
        <v>914</v>
      </c>
    </row>
    <row r="111" spans="1:9" s="351" customFormat="1" ht="24" customHeight="1">
      <c r="A111" s="347">
        <v>5</v>
      </c>
      <c r="B111" s="347">
        <v>4</v>
      </c>
      <c r="C111" s="347">
        <v>6</v>
      </c>
      <c r="D111" s="347">
        <v>1</v>
      </c>
      <c r="E111" s="348" t="s">
        <v>330</v>
      </c>
      <c r="F111" s="359" t="s">
        <v>910</v>
      </c>
      <c r="G111" s="360">
        <v>20000000</v>
      </c>
      <c r="H111" s="359" t="s">
        <v>361</v>
      </c>
      <c r="I111" s="359" t="s">
        <v>914</v>
      </c>
    </row>
    <row r="112" spans="1:9" s="230" customFormat="1" ht="24" customHeight="1">
      <c r="A112" s="260">
        <v>5</v>
      </c>
      <c r="B112" s="260">
        <v>4</v>
      </c>
      <c r="C112" s="260">
        <v>7</v>
      </c>
      <c r="D112" s="260"/>
      <c r="E112" s="296" t="s">
        <v>331</v>
      </c>
      <c r="F112" s="292" t="s">
        <v>910</v>
      </c>
      <c r="G112" s="293">
        <f>SUM(G113:G113)</f>
        <v>10000000</v>
      </c>
      <c r="H112" s="292" t="s">
        <v>361</v>
      </c>
      <c r="I112" s="292"/>
    </row>
    <row r="113" spans="1:9" s="230" customFormat="1" ht="38.25" customHeight="1">
      <c r="A113" s="258">
        <v>5</v>
      </c>
      <c r="B113" s="258">
        <v>4</v>
      </c>
      <c r="C113" s="258">
        <v>7</v>
      </c>
      <c r="D113" s="258">
        <v>1</v>
      </c>
      <c r="E113" s="251" t="s">
        <v>332</v>
      </c>
      <c r="F113" s="247" t="s">
        <v>910</v>
      </c>
      <c r="G113" s="248">
        <v>10000000</v>
      </c>
      <c r="H113" s="247" t="s">
        <v>361</v>
      </c>
      <c r="I113" s="247" t="s">
        <v>914</v>
      </c>
    </row>
    <row r="114" spans="1:9" s="230" customFormat="1" ht="42" customHeight="1">
      <c r="A114" s="295">
        <v>5</v>
      </c>
      <c r="B114" s="295">
        <v>5</v>
      </c>
      <c r="C114" s="295"/>
      <c r="D114" s="295"/>
      <c r="E114" s="304" t="s">
        <v>219</v>
      </c>
      <c r="F114" s="305"/>
      <c r="G114" s="306">
        <f>G115+G117+G119</f>
        <v>223900000</v>
      </c>
      <c r="H114" s="305" t="s">
        <v>361</v>
      </c>
      <c r="I114" s="305"/>
    </row>
    <row r="115" spans="1:9" s="230" customFormat="1" ht="24" customHeight="1">
      <c r="A115" s="260">
        <v>5</v>
      </c>
      <c r="B115" s="260">
        <v>5</v>
      </c>
      <c r="C115" s="260">
        <v>1</v>
      </c>
      <c r="D115" s="260"/>
      <c r="E115" s="256" t="s">
        <v>220</v>
      </c>
      <c r="F115" s="243" t="s">
        <v>910</v>
      </c>
      <c r="G115" s="244">
        <f>SUM(G116)</f>
        <v>20000000</v>
      </c>
      <c r="H115" s="243" t="s">
        <v>361</v>
      </c>
      <c r="I115" s="243"/>
    </row>
    <row r="116" spans="1:9" s="230" customFormat="1" ht="24" customHeight="1">
      <c r="A116" s="258">
        <v>5</v>
      </c>
      <c r="B116" s="258">
        <v>5</v>
      </c>
      <c r="C116" s="258">
        <v>1</v>
      </c>
      <c r="D116" s="258">
        <v>1</v>
      </c>
      <c r="E116" s="250" t="s">
        <v>221</v>
      </c>
      <c r="F116" s="252" t="s">
        <v>910</v>
      </c>
      <c r="G116" s="253">
        <v>20000000</v>
      </c>
      <c r="H116" s="252" t="s">
        <v>361</v>
      </c>
      <c r="I116" s="252" t="s">
        <v>914</v>
      </c>
    </row>
    <row r="117" spans="1:9" s="230" customFormat="1" ht="24" customHeight="1">
      <c r="A117" s="260">
        <v>5</v>
      </c>
      <c r="B117" s="260">
        <v>5</v>
      </c>
      <c r="C117" s="260">
        <v>2</v>
      </c>
      <c r="D117" s="260"/>
      <c r="E117" s="256" t="s">
        <v>222</v>
      </c>
      <c r="F117" s="243" t="s">
        <v>910</v>
      </c>
      <c r="G117" s="244">
        <f>SUM(G118)</f>
        <v>5000000</v>
      </c>
      <c r="H117" s="243" t="s">
        <v>361</v>
      </c>
      <c r="I117" s="243"/>
    </row>
    <row r="118" spans="1:9" s="230" customFormat="1" ht="24" customHeight="1">
      <c r="A118" s="258">
        <v>5</v>
      </c>
      <c r="B118" s="258">
        <v>5</v>
      </c>
      <c r="C118" s="258">
        <v>2</v>
      </c>
      <c r="D118" s="258">
        <v>1</v>
      </c>
      <c r="E118" s="250" t="s">
        <v>223</v>
      </c>
      <c r="F118" s="307" t="s">
        <v>910</v>
      </c>
      <c r="G118" s="253">
        <v>5000000</v>
      </c>
      <c r="H118" s="252" t="s">
        <v>361</v>
      </c>
      <c r="I118" s="252" t="s">
        <v>914</v>
      </c>
    </row>
    <row r="119" spans="1:9" s="230" customFormat="1" ht="24" customHeight="1">
      <c r="A119" s="260">
        <v>5</v>
      </c>
      <c r="B119" s="260">
        <v>5</v>
      </c>
      <c r="C119" s="260">
        <v>3</v>
      </c>
      <c r="D119" s="260"/>
      <c r="E119" s="256" t="s">
        <v>224</v>
      </c>
      <c r="F119" s="243" t="s">
        <v>910</v>
      </c>
      <c r="G119" s="244">
        <f>SUM(G120)</f>
        <v>198900000</v>
      </c>
      <c r="H119" s="243" t="s">
        <v>361</v>
      </c>
      <c r="I119" s="243"/>
    </row>
    <row r="120" spans="1:9" s="230" customFormat="1" ht="24" customHeight="1">
      <c r="A120" s="258">
        <v>5</v>
      </c>
      <c r="B120" s="258">
        <v>5</v>
      </c>
      <c r="C120" s="258">
        <v>3</v>
      </c>
      <c r="D120" s="258">
        <v>1</v>
      </c>
      <c r="E120" s="250" t="s">
        <v>333</v>
      </c>
      <c r="F120" s="307" t="s">
        <v>910</v>
      </c>
      <c r="G120" s="253">
        <v>198900000</v>
      </c>
      <c r="H120" s="252" t="s">
        <v>361</v>
      </c>
      <c r="I120" s="252" t="s">
        <v>914</v>
      </c>
    </row>
    <row r="121" spans="1:9" s="215" customFormat="1" ht="24" customHeight="1">
      <c r="A121" s="714" t="s">
        <v>334</v>
      </c>
      <c r="B121" s="714"/>
      <c r="C121" s="714"/>
      <c r="D121" s="714"/>
      <c r="E121" s="714"/>
      <c r="F121" s="308"/>
      <c r="G121" s="308">
        <f>G10</f>
        <v>2958051420</v>
      </c>
      <c r="H121" s="308"/>
      <c r="I121" s="308"/>
    </row>
    <row r="122" spans="1:9" s="230" customFormat="1" ht="15.75">
      <c r="A122" s="309"/>
      <c r="B122" s="309"/>
      <c r="C122" s="309"/>
      <c r="D122" s="309"/>
      <c r="E122" s="310"/>
      <c r="F122" s="311"/>
      <c r="G122" s="310"/>
      <c r="H122" s="309"/>
      <c r="I122" s="309"/>
    </row>
    <row r="123" spans="1:9" s="230" customFormat="1" ht="15.75">
      <c r="A123" s="312"/>
      <c r="B123" s="312"/>
      <c r="C123" s="312" t="s">
        <v>335</v>
      </c>
      <c r="D123" s="312"/>
      <c r="E123" s="312"/>
      <c r="F123" s="313"/>
      <c r="G123" s="310"/>
      <c r="H123" s="309" t="s">
        <v>928</v>
      </c>
      <c r="I123" s="309"/>
    </row>
    <row r="124" spans="1:9" s="230" customFormat="1" ht="15.75">
      <c r="A124" s="312"/>
      <c r="B124" s="312"/>
      <c r="C124" s="312" t="s">
        <v>904</v>
      </c>
      <c r="D124" s="312"/>
      <c r="E124" s="312"/>
      <c r="F124" s="311"/>
      <c r="G124" s="310"/>
      <c r="H124" s="314" t="s">
        <v>336</v>
      </c>
      <c r="I124" s="309"/>
    </row>
    <row r="125" spans="1:9" s="230" customFormat="1" ht="15.75">
      <c r="A125" s="312"/>
      <c r="B125" s="312"/>
      <c r="C125" s="312"/>
      <c r="D125" s="312"/>
      <c r="E125" s="312"/>
      <c r="F125" s="311"/>
      <c r="G125" s="310"/>
      <c r="H125" s="309"/>
      <c r="I125" s="309"/>
    </row>
    <row r="126" spans="1:9" s="230" customFormat="1" ht="15.75">
      <c r="A126" s="312"/>
      <c r="B126" s="312"/>
      <c r="C126" s="312"/>
      <c r="D126" s="312"/>
      <c r="E126" s="312"/>
      <c r="F126" s="311"/>
      <c r="G126" s="310"/>
      <c r="H126" s="309"/>
      <c r="I126" s="309"/>
    </row>
    <row r="127" spans="1:9" s="230" customFormat="1" ht="15.75">
      <c r="A127" s="312"/>
      <c r="B127" s="312"/>
      <c r="C127" s="312"/>
      <c r="D127" s="312"/>
      <c r="E127" s="312"/>
      <c r="F127" s="311"/>
      <c r="G127" s="310"/>
      <c r="H127" s="309"/>
      <c r="I127" s="309"/>
    </row>
    <row r="128" spans="1:9" s="230" customFormat="1" ht="15.75">
      <c r="A128" s="312"/>
      <c r="B128" s="312"/>
      <c r="C128" s="312" t="s">
        <v>297</v>
      </c>
      <c r="D128" s="312"/>
      <c r="E128" s="312"/>
      <c r="F128" s="311"/>
      <c r="G128" s="310"/>
      <c r="H128" s="309" t="s">
        <v>35</v>
      </c>
      <c r="I128" s="309"/>
    </row>
  </sheetData>
  <mergeCells count="10">
    <mergeCell ref="A9:D9"/>
    <mergeCell ref="A121:E121"/>
    <mergeCell ref="A1:I1"/>
    <mergeCell ref="A2:I2"/>
    <mergeCell ref="A7:D8"/>
    <mergeCell ref="E7:E8"/>
    <mergeCell ref="F7:F8"/>
    <mergeCell ref="G7:G8"/>
    <mergeCell ref="H7:H8"/>
    <mergeCell ref="I7:I8"/>
  </mergeCells>
  <pageMargins left="0.70866141732283505" right="0.39" top="0.74803149606299202" bottom="0.74803149606299202" header="0.31496062992126" footer="0.31496062992126"/>
  <pageSetup paperSize="300" scale="4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view="pageBreakPreview" topLeftCell="D111" zoomScaleNormal="70" zoomScaleSheetLayoutView="100" workbookViewId="0">
      <selection activeCell="E117" sqref="E117"/>
    </sheetView>
  </sheetViews>
  <sheetFormatPr defaultRowHeight="15"/>
  <cols>
    <col min="1" max="4" width="5.140625" style="229" customWidth="1"/>
    <col min="5" max="5" width="86.85546875" style="229" customWidth="1"/>
    <col min="6" max="6" width="13.140625" style="315" bestFit="1" customWidth="1"/>
    <col min="7" max="7" width="21.140625" style="229" customWidth="1"/>
    <col min="8" max="8" width="22.85546875" style="316" customWidth="1"/>
    <col min="9" max="9" width="33.140625" style="316" customWidth="1"/>
    <col min="10" max="12" width="9.140625" style="229"/>
    <col min="13" max="13" width="46.28515625" style="229" customWidth="1"/>
    <col min="14" max="256" width="9.140625" style="229"/>
    <col min="257" max="260" width="5.140625" style="229" customWidth="1"/>
    <col min="261" max="261" width="86.85546875" style="229" customWidth="1"/>
    <col min="262" max="262" width="13.140625" style="229" bestFit="1" customWidth="1"/>
    <col min="263" max="263" width="21.140625" style="229" customWidth="1"/>
    <col min="264" max="264" width="22.85546875" style="229" customWidth="1"/>
    <col min="265" max="265" width="33.140625" style="229" customWidth="1"/>
    <col min="266" max="268" width="9.140625" style="229"/>
    <col min="269" max="269" width="46.28515625" style="229" customWidth="1"/>
    <col min="270" max="512" width="9.140625" style="229"/>
    <col min="513" max="516" width="5.140625" style="229" customWidth="1"/>
    <col min="517" max="517" width="86.85546875" style="229" customWidth="1"/>
    <col min="518" max="518" width="13.140625" style="229" bestFit="1" customWidth="1"/>
    <col min="519" max="519" width="21.140625" style="229" customWidth="1"/>
    <col min="520" max="520" width="22.85546875" style="229" customWidth="1"/>
    <col min="521" max="521" width="33.140625" style="229" customWidth="1"/>
    <col min="522" max="524" width="9.140625" style="229"/>
    <col min="525" max="525" width="46.28515625" style="229" customWidth="1"/>
    <col min="526" max="768" width="9.140625" style="229"/>
    <col min="769" max="772" width="5.140625" style="229" customWidth="1"/>
    <col min="773" max="773" width="86.85546875" style="229" customWidth="1"/>
    <col min="774" max="774" width="13.140625" style="229" bestFit="1" customWidth="1"/>
    <col min="775" max="775" width="21.140625" style="229" customWidth="1"/>
    <col min="776" max="776" width="22.85546875" style="229" customWidth="1"/>
    <col min="777" max="777" width="33.140625" style="229" customWidth="1"/>
    <col min="778" max="780" width="9.140625" style="229"/>
    <col min="781" max="781" width="46.28515625" style="229" customWidth="1"/>
    <col min="782" max="1024" width="9.140625" style="229"/>
    <col min="1025" max="1028" width="5.140625" style="229" customWidth="1"/>
    <col min="1029" max="1029" width="86.85546875" style="229" customWidth="1"/>
    <col min="1030" max="1030" width="13.140625" style="229" bestFit="1" customWidth="1"/>
    <col min="1031" max="1031" width="21.140625" style="229" customWidth="1"/>
    <col min="1032" max="1032" width="22.85546875" style="229" customWidth="1"/>
    <col min="1033" max="1033" width="33.140625" style="229" customWidth="1"/>
    <col min="1034" max="1036" width="9.140625" style="229"/>
    <col min="1037" max="1037" width="46.28515625" style="229" customWidth="1"/>
    <col min="1038" max="1280" width="9.140625" style="229"/>
    <col min="1281" max="1284" width="5.140625" style="229" customWidth="1"/>
    <col min="1285" max="1285" width="86.85546875" style="229" customWidth="1"/>
    <col min="1286" max="1286" width="13.140625" style="229" bestFit="1" customWidth="1"/>
    <col min="1287" max="1287" width="21.140625" style="229" customWidth="1"/>
    <col min="1288" max="1288" width="22.85546875" style="229" customWidth="1"/>
    <col min="1289" max="1289" width="33.140625" style="229" customWidth="1"/>
    <col min="1290" max="1292" width="9.140625" style="229"/>
    <col min="1293" max="1293" width="46.28515625" style="229" customWidth="1"/>
    <col min="1294" max="1536" width="9.140625" style="229"/>
    <col min="1537" max="1540" width="5.140625" style="229" customWidth="1"/>
    <col min="1541" max="1541" width="86.85546875" style="229" customWidth="1"/>
    <col min="1542" max="1542" width="13.140625" style="229" bestFit="1" customWidth="1"/>
    <col min="1543" max="1543" width="21.140625" style="229" customWidth="1"/>
    <col min="1544" max="1544" width="22.85546875" style="229" customWidth="1"/>
    <col min="1545" max="1545" width="33.140625" style="229" customWidth="1"/>
    <col min="1546" max="1548" width="9.140625" style="229"/>
    <col min="1549" max="1549" width="46.28515625" style="229" customWidth="1"/>
    <col min="1550" max="1792" width="9.140625" style="229"/>
    <col min="1793" max="1796" width="5.140625" style="229" customWidth="1"/>
    <col min="1797" max="1797" width="86.85546875" style="229" customWidth="1"/>
    <col min="1798" max="1798" width="13.140625" style="229" bestFit="1" customWidth="1"/>
    <col min="1799" max="1799" width="21.140625" style="229" customWidth="1"/>
    <col min="1800" max="1800" width="22.85546875" style="229" customWidth="1"/>
    <col min="1801" max="1801" width="33.140625" style="229" customWidth="1"/>
    <col min="1802" max="1804" width="9.140625" style="229"/>
    <col min="1805" max="1805" width="46.28515625" style="229" customWidth="1"/>
    <col min="1806" max="2048" width="9.140625" style="229"/>
    <col min="2049" max="2052" width="5.140625" style="229" customWidth="1"/>
    <col min="2053" max="2053" width="86.85546875" style="229" customWidth="1"/>
    <col min="2054" max="2054" width="13.140625" style="229" bestFit="1" customWidth="1"/>
    <col min="2055" max="2055" width="21.140625" style="229" customWidth="1"/>
    <col min="2056" max="2056" width="22.85546875" style="229" customWidth="1"/>
    <col min="2057" max="2057" width="33.140625" style="229" customWidth="1"/>
    <col min="2058" max="2060" width="9.140625" style="229"/>
    <col min="2061" max="2061" width="46.28515625" style="229" customWidth="1"/>
    <col min="2062" max="2304" width="9.140625" style="229"/>
    <col min="2305" max="2308" width="5.140625" style="229" customWidth="1"/>
    <col min="2309" max="2309" width="86.85546875" style="229" customWidth="1"/>
    <col min="2310" max="2310" width="13.140625" style="229" bestFit="1" customWidth="1"/>
    <col min="2311" max="2311" width="21.140625" style="229" customWidth="1"/>
    <col min="2312" max="2312" width="22.85546875" style="229" customWidth="1"/>
    <col min="2313" max="2313" width="33.140625" style="229" customWidth="1"/>
    <col min="2314" max="2316" width="9.140625" style="229"/>
    <col min="2317" max="2317" width="46.28515625" style="229" customWidth="1"/>
    <col min="2318" max="2560" width="9.140625" style="229"/>
    <col min="2561" max="2564" width="5.140625" style="229" customWidth="1"/>
    <col min="2565" max="2565" width="86.85546875" style="229" customWidth="1"/>
    <col min="2566" max="2566" width="13.140625" style="229" bestFit="1" customWidth="1"/>
    <col min="2567" max="2567" width="21.140625" style="229" customWidth="1"/>
    <col min="2568" max="2568" width="22.85546875" style="229" customWidth="1"/>
    <col min="2569" max="2569" width="33.140625" style="229" customWidth="1"/>
    <col min="2570" max="2572" width="9.140625" style="229"/>
    <col min="2573" max="2573" width="46.28515625" style="229" customWidth="1"/>
    <col min="2574" max="2816" width="9.140625" style="229"/>
    <col min="2817" max="2820" width="5.140625" style="229" customWidth="1"/>
    <col min="2821" max="2821" width="86.85546875" style="229" customWidth="1"/>
    <col min="2822" max="2822" width="13.140625" style="229" bestFit="1" customWidth="1"/>
    <col min="2823" max="2823" width="21.140625" style="229" customWidth="1"/>
    <col min="2824" max="2824" width="22.85546875" style="229" customWidth="1"/>
    <col min="2825" max="2825" width="33.140625" style="229" customWidth="1"/>
    <col min="2826" max="2828" width="9.140625" style="229"/>
    <col min="2829" max="2829" width="46.28515625" style="229" customWidth="1"/>
    <col min="2830" max="3072" width="9.140625" style="229"/>
    <col min="3073" max="3076" width="5.140625" style="229" customWidth="1"/>
    <col min="3077" max="3077" width="86.85546875" style="229" customWidth="1"/>
    <col min="3078" max="3078" width="13.140625" style="229" bestFit="1" customWidth="1"/>
    <col min="3079" max="3079" width="21.140625" style="229" customWidth="1"/>
    <col min="3080" max="3080" width="22.85546875" style="229" customWidth="1"/>
    <col min="3081" max="3081" width="33.140625" style="229" customWidth="1"/>
    <col min="3082" max="3084" width="9.140625" style="229"/>
    <col min="3085" max="3085" width="46.28515625" style="229" customWidth="1"/>
    <col min="3086" max="3328" width="9.140625" style="229"/>
    <col min="3329" max="3332" width="5.140625" style="229" customWidth="1"/>
    <col min="3333" max="3333" width="86.85546875" style="229" customWidth="1"/>
    <col min="3334" max="3334" width="13.140625" style="229" bestFit="1" customWidth="1"/>
    <col min="3335" max="3335" width="21.140625" style="229" customWidth="1"/>
    <col min="3336" max="3336" width="22.85546875" style="229" customWidth="1"/>
    <col min="3337" max="3337" width="33.140625" style="229" customWidth="1"/>
    <col min="3338" max="3340" width="9.140625" style="229"/>
    <col min="3341" max="3341" width="46.28515625" style="229" customWidth="1"/>
    <col min="3342" max="3584" width="9.140625" style="229"/>
    <col min="3585" max="3588" width="5.140625" style="229" customWidth="1"/>
    <col min="3589" max="3589" width="86.85546875" style="229" customWidth="1"/>
    <col min="3590" max="3590" width="13.140625" style="229" bestFit="1" customWidth="1"/>
    <col min="3591" max="3591" width="21.140625" style="229" customWidth="1"/>
    <col min="3592" max="3592" width="22.85546875" style="229" customWidth="1"/>
    <col min="3593" max="3593" width="33.140625" style="229" customWidth="1"/>
    <col min="3594" max="3596" width="9.140625" style="229"/>
    <col min="3597" max="3597" width="46.28515625" style="229" customWidth="1"/>
    <col min="3598" max="3840" width="9.140625" style="229"/>
    <col min="3841" max="3844" width="5.140625" style="229" customWidth="1"/>
    <col min="3845" max="3845" width="86.85546875" style="229" customWidth="1"/>
    <col min="3846" max="3846" width="13.140625" style="229" bestFit="1" customWidth="1"/>
    <col min="3847" max="3847" width="21.140625" style="229" customWidth="1"/>
    <col min="3848" max="3848" width="22.85546875" style="229" customWidth="1"/>
    <col min="3849" max="3849" width="33.140625" style="229" customWidth="1"/>
    <col min="3850" max="3852" width="9.140625" style="229"/>
    <col min="3853" max="3853" width="46.28515625" style="229" customWidth="1"/>
    <col min="3854" max="4096" width="9.140625" style="229"/>
    <col min="4097" max="4100" width="5.140625" style="229" customWidth="1"/>
    <col min="4101" max="4101" width="86.85546875" style="229" customWidth="1"/>
    <col min="4102" max="4102" width="13.140625" style="229" bestFit="1" customWidth="1"/>
    <col min="4103" max="4103" width="21.140625" style="229" customWidth="1"/>
    <col min="4104" max="4104" width="22.85546875" style="229" customWidth="1"/>
    <col min="4105" max="4105" width="33.140625" style="229" customWidth="1"/>
    <col min="4106" max="4108" width="9.140625" style="229"/>
    <col min="4109" max="4109" width="46.28515625" style="229" customWidth="1"/>
    <col min="4110" max="4352" width="9.140625" style="229"/>
    <col min="4353" max="4356" width="5.140625" style="229" customWidth="1"/>
    <col min="4357" max="4357" width="86.85546875" style="229" customWidth="1"/>
    <col min="4358" max="4358" width="13.140625" style="229" bestFit="1" customWidth="1"/>
    <col min="4359" max="4359" width="21.140625" style="229" customWidth="1"/>
    <col min="4360" max="4360" width="22.85546875" style="229" customWidth="1"/>
    <col min="4361" max="4361" width="33.140625" style="229" customWidth="1"/>
    <col min="4362" max="4364" width="9.140625" style="229"/>
    <col min="4365" max="4365" width="46.28515625" style="229" customWidth="1"/>
    <col min="4366" max="4608" width="9.140625" style="229"/>
    <col min="4609" max="4612" width="5.140625" style="229" customWidth="1"/>
    <col min="4613" max="4613" width="86.85546875" style="229" customWidth="1"/>
    <col min="4614" max="4614" width="13.140625" style="229" bestFit="1" customWidth="1"/>
    <col min="4615" max="4615" width="21.140625" style="229" customWidth="1"/>
    <col min="4616" max="4616" width="22.85546875" style="229" customWidth="1"/>
    <col min="4617" max="4617" width="33.140625" style="229" customWidth="1"/>
    <col min="4618" max="4620" width="9.140625" style="229"/>
    <col min="4621" max="4621" width="46.28515625" style="229" customWidth="1"/>
    <col min="4622" max="4864" width="9.140625" style="229"/>
    <col min="4865" max="4868" width="5.140625" style="229" customWidth="1"/>
    <col min="4869" max="4869" width="86.85546875" style="229" customWidth="1"/>
    <col min="4870" max="4870" width="13.140625" style="229" bestFit="1" customWidth="1"/>
    <col min="4871" max="4871" width="21.140625" style="229" customWidth="1"/>
    <col min="4872" max="4872" width="22.85546875" style="229" customWidth="1"/>
    <col min="4873" max="4873" width="33.140625" style="229" customWidth="1"/>
    <col min="4874" max="4876" width="9.140625" style="229"/>
    <col min="4877" max="4877" width="46.28515625" style="229" customWidth="1"/>
    <col min="4878" max="5120" width="9.140625" style="229"/>
    <col min="5121" max="5124" width="5.140625" style="229" customWidth="1"/>
    <col min="5125" max="5125" width="86.85546875" style="229" customWidth="1"/>
    <col min="5126" max="5126" width="13.140625" style="229" bestFit="1" customWidth="1"/>
    <col min="5127" max="5127" width="21.140625" style="229" customWidth="1"/>
    <col min="5128" max="5128" width="22.85546875" style="229" customWidth="1"/>
    <col min="5129" max="5129" width="33.140625" style="229" customWidth="1"/>
    <col min="5130" max="5132" width="9.140625" style="229"/>
    <col min="5133" max="5133" width="46.28515625" style="229" customWidth="1"/>
    <col min="5134" max="5376" width="9.140625" style="229"/>
    <col min="5377" max="5380" width="5.140625" style="229" customWidth="1"/>
    <col min="5381" max="5381" width="86.85546875" style="229" customWidth="1"/>
    <col min="5382" max="5382" width="13.140625" style="229" bestFit="1" customWidth="1"/>
    <col min="5383" max="5383" width="21.140625" style="229" customWidth="1"/>
    <col min="5384" max="5384" width="22.85546875" style="229" customWidth="1"/>
    <col min="5385" max="5385" width="33.140625" style="229" customWidth="1"/>
    <col min="5386" max="5388" width="9.140625" style="229"/>
    <col min="5389" max="5389" width="46.28515625" style="229" customWidth="1"/>
    <col min="5390" max="5632" width="9.140625" style="229"/>
    <col min="5633" max="5636" width="5.140625" style="229" customWidth="1"/>
    <col min="5637" max="5637" width="86.85546875" style="229" customWidth="1"/>
    <col min="5638" max="5638" width="13.140625" style="229" bestFit="1" customWidth="1"/>
    <col min="5639" max="5639" width="21.140625" style="229" customWidth="1"/>
    <col min="5640" max="5640" width="22.85546875" style="229" customWidth="1"/>
    <col min="5641" max="5641" width="33.140625" style="229" customWidth="1"/>
    <col min="5642" max="5644" width="9.140625" style="229"/>
    <col min="5645" max="5645" width="46.28515625" style="229" customWidth="1"/>
    <col min="5646" max="5888" width="9.140625" style="229"/>
    <col min="5889" max="5892" width="5.140625" style="229" customWidth="1"/>
    <col min="5893" max="5893" width="86.85546875" style="229" customWidth="1"/>
    <col min="5894" max="5894" width="13.140625" style="229" bestFit="1" customWidth="1"/>
    <col min="5895" max="5895" width="21.140625" style="229" customWidth="1"/>
    <col min="5896" max="5896" width="22.85546875" style="229" customWidth="1"/>
    <col min="5897" max="5897" width="33.140625" style="229" customWidth="1"/>
    <col min="5898" max="5900" width="9.140625" style="229"/>
    <col min="5901" max="5901" width="46.28515625" style="229" customWidth="1"/>
    <col min="5902" max="6144" width="9.140625" style="229"/>
    <col min="6145" max="6148" width="5.140625" style="229" customWidth="1"/>
    <col min="6149" max="6149" width="86.85546875" style="229" customWidth="1"/>
    <col min="6150" max="6150" width="13.140625" style="229" bestFit="1" customWidth="1"/>
    <col min="6151" max="6151" width="21.140625" style="229" customWidth="1"/>
    <col min="6152" max="6152" width="22.85546875" style="229" customWidth="1"/>
    <col min="6153" max="6153" width="33.140625" style="229" customWidth="1"/>
    <col min="6154" max="6156" width="9.140625" style="229"/>
    <col min="6157" max="6157" width="46.28515625" style="229" customWidth="1"/>
    <col min="6158" max="6400" width="9.140625" style="229"/>
    <col min="6401" max="6404" width="5.140625" style="229" customWidth="1"/>
    <col min="6405" max="6405" width="86.85546875" style="229" customWidth="1"/>
    <col min="6406" max="6406" width="13.140625" style="229" bestFit="1" customWidth="1"/>
    <col min="6407" max="6407" width="21.140625" style="229" customWidth="1"/>
    <col min="6408" max="6408" width="22.85546875" style="229" customWidth="1"/>
    <col min="6409" max="6409" width="33.140625" style="229" customWidth="1"/>
    <col min="6410" max="6412" width="9.140625" style="229"/>
    <col min="6413" max="6413" width="46.28515625" style="229" customWidth="1"/>
    <col min="6414" max="6656" width="9.140625" style="229"/>
    <col min="6657" max="6660" width="5.140625" style="229" customWidth="1"/>
    <col min="6661" max="6661" width="86.85546875" style="229" customWidth="1"/>
    <col min="6662" max="6662" width="13.140625" style="229" bestFit="1" customWidth="1"/>
    <col min="6663" max="6663" width="21.140625" style="229" customWidth="1"/>
    <col min="6664" max="6664" width="22.85546875" style="229" customWidth="1"/>
    <col min="6665" max="6665" width="33.140625" style="229" customWidth="1"/>
    <col min="6666" max="6668" width="9.140625" style="229"/>
    <col min="6669" max="6669" width="46.28515625" style="229" customWidth="1"/>
    <col min="6670" max="6912" width="9.140625" style="229"/>
    <col min="6913" max="6916" width="5.140625" style="229" customWidth="1"/>
    <col min="6917" max="6917" width="86.85546875" style="229" customWidth="1"/>
    <col min="6918" max="6918" width="13.140625" style="229" bestFit="1" customWidth="1"/>
    <col min="6919" max="6919" width="21.140625" style="229" customWidth="1"/>
    <col min="6920" max="6920" width="22.85546875" style="229" customWidth="1"/>
    <col min="6921" max="6921" width="33.140625" style="229" customWidth="1"/>
    <col min="6922" max="6924" width="9.140625" style="229"/>
    <col min="6925" max="6925" width="46.28515625" style="229" customWidth="1"/>
    <col min="6926" max="7168" width="9.140625" style="229"/>
    <col min="7169" max="7172" width="5.140625" style="229" customWidth="1"/>
    <col min="7173" max="7173" width="86.85546875" style="229" customWidth="1"/>
    <col min="7174" max="7174" width="13.140625" style="229" bestFit="1" customWidth="1"/>
    <col min="7175" max="7175" width="21.140625" style="229" customWidth="1"/>
    <col min="7176" max="7176" width="22.85546875" style="229" customWidth="1"/>
    <col min="7177" max="7177" width="33.140625" style="229" customWidth="1"/>
    <col min="7178" max="7180" width="9.140625" style="229"/>
    <col min="7181" max="7181" width="46.28515625" style="229" customWidth="1"/>
    <col min="7182" max="7424" width="9.140625" style="229"/>
    <col min="7425" max="7428" width="5.140625" style="229" customWidth="1"/>
    <col min="7429" max="7429" width="86.85546875" style="229" customWidth="1"/>
    <col min="7430" max="7430" width="13.140625" style="229" bestFit="1" customWidth="1"/>
    <col min="7431" max="7431" width="21.140625" style="229" customWidth="1"/>
    <col min="7432" max="7432" width="22.85546875" style="229" customWidth="1"/>
    <col min="7433" max="7433" width="33.140625" style="229" customWidth="1"/>
    <col min="7434" max="7436" width="9.140625" style="229"/>
    <col min="7437" max="7437" width="46.28515625" style="229" customWidth="1"/>
    <col min="7438" max="7680" width="9.140625" style="229"/>
    <col min="7681" max="7684" width="5.140625" style="229" customWidth="1"/>
    <col min="7685" max="7685" width="86.85546875" style="229" customWidth="1"/>
    <col min="7686" max="7686" width="13.140625" style="229" bestFit="1" customWidth="1"/>
    <col min="7687" max="7687" width="21.140625" style="229" customWidth="1"/>
    <col min="7688" max="7688" width="22.85546875" style="229" customWidth="1"/>
    <col min="7689" max="7689" width="33.140625" style="229" customWidth="1"/>
    <col min="7690" max="7692" width="9.140625" style="229"/>
    <col min="7693" max="7693" width="46.28515625" style="229" customWidth="1"/>
    <col min="7694" max="7936" width="9.140625" style="229"/>
    <col min="7937" max="7940" width="5.140625" style="229" customWidth="1"/>
    <col min="7941" max="7941" width="86.85546875" style="229" customWidth="1"/>
    <col min="7942" max="7942" width="13.140625" style="229" bestFit="1" customWidth="1"/>
    <col min="7943" max="7943" width="21.140625" style="229" customWidth="1"/>
    <col min="7944" max="7944" width="22.85546875" style="229" customWidth="1"/>
    <col min="7945" max="7945" width="33.140625" style="229" customWidth="1"/>
    <col min="7946" max="7948" width="9.140625" style="229"/>
    <col min="7949" max="7949" width="46.28515625" style="229" customWidth="1"/>
    <col min="7950" max="8192" width="9.140625" style="229"/>
    <col min="8193" max="8196" width="5.140625" style="229" customWidth="1"/>
    <col min="8197" max="8197" width="86.85546875" style="229" customWidth="1"/>
    <col min="8198" max="8198" width="13.140625" style="229" bestFit="1" customWidth="1"/>
    <col min="8199" max="8199" width="21.140625" style="229" customWidth="1"/>
    <col min="8200" max="8200" width="22.85546875" style="229" customWidth="1"/>
    <col min="8201" max="8201" width="33.140625" style="229" customWidth="1"/>
    <col min="8202" max="8204" width="9.140625" style="229"/>
    <col min="8205" max="8205" width="46.28515625" style="229" customWidth="1"/>
    <col min="8206" max="8448" width="9.140625" style="229"/>
    <col min="8449" max="8452" width="5.140625" style="229" customWidth="1"/>
    <col min="8453" max="8453" width="86.85546875" style="229" customWidth="1"/>
    <col min="8454" max="8454" width="13.140625" style="229" bestFit="1" customWidth="1"/>
    <col min="8455" max="8455" width="21.140625" style="229" customWidth="1"/>
    <col min="8456" max="8456" width="22.85546875" style="229" customWidth="1"/>
    <col min="8457" max="8457" width="33.140625" style="229" customWidth="1"/>
    <col min="8458" max="8460" width="9.140625" style="229"/>
    <col min="8461" max="8461" width="46.28515625" style="229" customWidth="1"/>
    <col min="8462" max="8704" width="9.140625" style="229"/>
    <col min="8705" max="8708" width="5.140625" style="229" customWidth="1"/>
    <col min="8709" max="8709" width="86.85546875" style="229" customWidth="1"/>
    <col min="8710" max="8710" width="13.140625" style="229" bestFit="1" customWidth="1"/>
    <col min="8711" max="8711" width="21.140625" style="229" customWidth="1"/>
    <col min="8712" max="8712" width="22.85546875" style="229" customWidth="1"/>
    <col min="8713" max="8713" width="33.140625" style="229" customWidth="1"/>
    <col min="8714" max="8716" width="9.140625" style="229"/>
    <col min="8717" max="8717" width="46.28515625" style="229" customWidth="1"/>
    <col min="8718" max="8960" width="9.140625" style="229"/>
    <col min="8961" max="8964" width="5.140625" style="229" customWidth="1"/>
    <col min="8965" max="8965" width="86.85546875" style="229" customWidth="1"/>
    <col min="8966" max="8966" width="13.140625" style="229" bestFit="1" customWidth="1"/>
    <col min="8967" max="8967" width="21.140625" style="229" customWidth="1"/>
    <col min="8968" max="8968" width="22.85546875" style="229" customWidth="1"/>
    <col min="8969" max="8969" width="33.140625" style="229" customWidth="1"/>
    <col min="8970" max="8972" width="9.140625" style="229"/>
    <col min="8973" max="8973" width="46.28515625" style="229" customWidth="1"/>
    <col min="8974" max="9216" width="9.140625" style="229"/>
    <col min="9217" max="9220" width="5.140625" style="229" customWidth="1"/>
    <col min="9221" max="9221" width="86.85546875" style="229" customWidth="1"/>
    <col min="9222" max="9222" width="13.140625" style="229" bestFit="1" customWidth="1"/>
    <col min="9223" max="9223" width="21.140625" style="229" customWidth="1"/>
    <col min="9224" max="9224" width="22.85546875" style="229" customWidth="1"/>
    <col min="9225" max="9225" width="33.140625" style="229" customWidth="1"/>
    <col min="9226" max="9228" width="9.140625" style="229"/>
    <col min="9229" max="9229" width="46.28515625" style="229" customWidth="1"/>
    <col min="9230" max="9472" width="9.140625" style="229"/>
    <col min="9473" max="9476" width="5.140625" style="229" customWidth="1"/>
    <col min="9477" max="9477" width="86.85546875" style="229" customWidth="1"/>
    <col min="9478" max="9478" width="13.140625" style="229" bestFit="1" customWidth="1"/>
    <col min="9479" max="9479" width="21.140625" style="229" customWidth="1"/>
    <col min="9480" max="9480" width="22.85546875" style="229" customWidth="1"/>
    <col min="9481" max="9481" width="33.140625" style="229" customWidth="1"/>
    <col min="9482" max="9484" width="9.140625" style="229"/>
    <col min="9485" max="9485" width="46.28515625" style="229" customWidth="1"/>
    <col min="9486" max="9728" width="9.140625" style="229"/>
    <col min="9729" max="9732" width="5.140625" style="229" customWidth="1"/>
    <col min="9733" max="9733" width="86.85546875" style="229" customWidth="1"/>
    <col min="9734" max="9734" width="13.140625" style="229" bestFit="1" customWidth="1"/>
    <col min="9735" max="9735" width="21.140625" style="229" customWidth="1"/>
    <col min="9736" max="9736" width="22.85546875" style="229" customWidth="1"/>
    <col min="9737" max="9737" width="33.140625" style="229" customWidth="1"/>
    <col min="9738" max="9740" width="9.140625" style="229"/>
    <col min="9741" max="9741" width="46.28515625" style="229" customWidth="1"/>
    <col min="9742" max="9984" width="9.140625" style="229"/>
    <col min="9985" max="9988" width="5.140625" style="229" customWidth="1"/>
    <col min="9989" max="9989" width="86.85546875" style="229" customWidth="1"/>
    <col min="9990" max="9990" width="13.140625" style="229" bestFit="1" customWidth="1"/>
    <col min="9991" max="9991" width="21.140625" style="229" customWidth="1"/>
    <col min="9992" max="9992" width="22.85546875" style="229" customWidth="1"/>
    <col min="9993" max="9993" width="33.140625" style="229" customWidth="1"/>
    <col min="9994" max="9996" width="9.140625" style="229"/>
    <col min="9997" max="9997" width="46.28515625" style="229" customWidth="1"/>
    <col min="9998" max="10240" width="9.140625" style="229"/>
    <col min="10241" max="10244" width="5.140625" style="229" customWidth="1"/>
    <col min="10245" max="10245" width="86.85546875" style="229" customWidth="1"/>
    <col min="10246" max="10246" width="13.140625" style="229" bestFit="1" customWidth="1"/>
    <col min="10247" max="10247" width="21.140625" style="229" customWidth="1"/>
    <col min="10248" max="10248" width="22.85546875" style="229" customWidth="1"/>
    <col min="10249" max="10249" width="33.140625" style="229" customWidth="1"/>
    <col min="10250" max="10252" width="9.140625" style="229"/>
    <col min="10253" max="10253" width="46.28515625" style="229" customWidth="1"/>
    <col min="10254" max="10496" width="9.140625" style="229"/>
    <col min="10497" max="10500" width="5.140625" style="229" customWidth="1"/>
    <col min="10501" max="10501" width="86.85546875" style="229" customWidth="1"/>
    <col min="10502" max="10502" width="13.140625" style="229" bestFit="1" customWidth="1"/>
    <col min="10503" max="10503" width="21.140625" style="229" customWidth="1"/>
    <col min="10504" max="10504" width="22.85546875" style="229" customWidth="1"/>
    <col min="10505" max="10505" width="33.140625" style="229" customWidth="1"/>
    <col min="10506" max="10508" width="9.140625" style="229"/>
    <col min="10509" max="10509" width="46.28515625" style="229" customWidth="1"/>
    <col min="10510" max="10752" width="9.140625" style="229"/>
    <col min="10753" max="10756" width="5.140625" style="229" customWidth="1"/>
    <col min="10757" max="10757" width="86.85546875" style="229" customWidth="1"/>
    <col min="10758" max="10758" width="13.140625" style="229" bestFit="1" customWidth="1"/>
    <col min="10759" max="10759" width="21.140625" style="229" customWidth="1"/>
    <col min="10760" max="10760" width="22.85546875" style="229" customWidth="1"/>
    <col min="10761" max="10761" width="33.140625" style="229" customWidth="1"/>
    <col min="10762" max="10764" width="9.140625" style="229"/>
    <col min="10765" max="10765" width="46.28515625" style="229" customWidth="1"/>
    <col min="10766" max="11008" width="9.140625" style="229"/>
    <col min="11009" max="11012" width="5.140625" style="229" customWidth="1"/>
    <col min="11013" max="11013" width="86.85546875" style="229" customWidth="1"/>
    <col min="11014" max="11014" width="13.140625" style="229" bestFit="1" customWidth="1"/>
    <col min="11015" max="11015" width="21.140625" style="229" customWidth="1"/>
    <col min="11016" max="11016" width="22.85546875" style="229" customWidth="1"/>
    <col min="11017" max="11017" width="33.140625" style="229" customWidth="1"/>
    <col min="11018" max="11020" width="9.140625" style="229"/>
    <col min="11021" max="11021" width="46.28515625" style="229" customWidth="1"/>
    <col min="11022" max="11264" width="9.140625" style="229"/>
    <col min="11265" max="11268" width="5.140625" style="229" customWidth="1"/>
    <col min="11269" max="11269" width="86.85546875" style="229" customWidth="1"/>
    <col min="11270" max="11270" width="13.140625" style="229" bestFit="1" customWidth="1"/>
    <col min="11271" max="11271" width="21.140625" style="229" customWidth="1"/>
    <col min="11272" max="11272" width="22.85546875" style="229" customWidth="1"/>
    <col min="11273" max="11273" width="33.140625" style="229" customWidth="1"/>
    <col min="11274" max="11276" width="9.140625" style="229"/>
    <col min="11277" max="11277" width="46.28515625" style="229" customWidth="1"/>
    <col min="11278" max="11520" width="9.140625" style="229"/>
    <col min="11521" max="11524" width="5.140625" style="229" customWidth="1"/>
    <col min="11525" max="11525" width="86.85546875" style="229" customWidth="1"/>
    <col min="11526" max="11526" width="13.140625" style="229" bestFit="1" customWidth="1"/>
    <col min="11527" max="11527" width="21.140625" style="229" customWidth="1"/>
    <col min="11528" max="11528" width="22.85546875" style="229" customWidth="1"/>
    <col min="11529" max="11529" width="33.140625" style="229" customWidth="1"/>
    <col min="11530" max="11532" width="9.140625" style="229"/>
    <col min="11533" max="11533" width="46.28515625" style="229" customWidth="1"/>
    <col min="11534" max="11776" width="9.140625" style="229"/>
    <col min="11777" max="11780" width="5.140625" style="229" customWidth="1"/>
    <col min="11781" max="11781" width="86.85546875" style="229" customWidth="1"/>
    <col min="11782" max="11782" width="13.140625" style="229" bestFit="1" customWidth="1"/>
    <col min="11783" max="11783" width="21.140625" style="229" customWidth="1"/>
    <col min="11784" max="11784" width="22.85546875" style="229" customWidth="1"/>
    <col min="11785" max="11785" width="33.140625" style="229" customWidth="1"/>
    <col min="11786" max="11788" width="9.140625" style="229"/>
    <col min="11789" max="11789" width="46.28515625" style="229" customWidth="1"/>
    <col min="11790" max="12032" width="9.140625" style="229"/>
    <col min="12033" max="12036" width="5.140625" style="229" customWidth="1"/>
    <col min="12037" max="12037" width="86.85546875" style="229" customWidth="1"/>
    <col min="12038" max="12038" width="13.140625" style="229" bestFit="1" customWidth="1"/>
    <col min="12039" max="12039" width="21.140625" style="229" customWidth="1"/>
    <col min="12040" max="12040" width="22.85546875" style="229" customWidth="1"/>
    <col min="12041" max="12041" width="33.140625" style="229" customWidth="1"/>
    <col min="12042" max="12044" width="9.140625" style="229"/>
    <col min="12045" max="12045" width="46.28515625" style="229" customWidth="1"/>
    <col min="12046" max="12288" width="9.140625" style="229"/>
    <col min="12289" max="12292" width="5.140625" style="229" customWidth="1"/>
    <col min="12293" max="12293" width="86.85546875" style="229" customWidth="1"/>
    <col min="12294" max="12294" width="13.140625" style="229" bestFit="1" customWidth="1"/>
    <col min="12295" max="12295" width="21.140625" style="229" customWidth="1"/>
    <col min="12296" max="12296" width="22.85546875" style="229" customWidth="1"/>
    <col min="12297" max="12297" width="33.140625" style="229" customWidth="1"/>
    <col min="12298" max="12300" width="9.140625" style="229"/>
    <col min="12301" max="12301" width="46.28515625" style="229" customWidth="1"/>
    <col min="12302" max="12544" width="9.140625" style="229"/>
    <col min="12545" max="12548" width="5.140625" style="229" customWidth="1"/>
    <col min="12549" max="12549" width="86.85546875" style="229" customWidth="1"/>
    <col min="12550" max="12550" width="13.140625" style="229" bestFit="1" customWidth="1"/>
    <col min="12551" max="12551" width="21.140625" style="229" customWidth="1"/>
    <col min="12552" max="12552" width="22.85546875" style="229" customWidth="1"/>
    <col min="12553" max="12553" width="33.140625" style="229" customWidth="1"/>
    <col min="12554" max="12556" width="9.140625" style="229"/>
    <col min="12557" max="12557" width="46.28515625" style="229" customWidth="1"/>
    <col min="12558" max="12800" width="9.140625" style="229"/>
    <col min="12801" max="12804" width="5.140625" style="229" customWidth="1"/>
    <col min="12805" max="12805" width="86.85546875" style="229" customWidth="1"/>
    <col min="12806" max="12806" width="13.140625" style="229" bestFit="1" customWidth="1"/>
    <col min="12807" max="12807" width="21.140625" style="229" customWidth="1"/>
    <col min="12808" max="12808" width="22.85546875" style="229" customWidth="1"/>
    <col min="12809" max="12809" width="33.140625" style="229" customWidth="1"/>
    <col min="12810" max="12812" width="9.140625" style="229"/>
    <col min="12813" max="12813" width="46.28515625" style="229" customWidth="1"/>
    <col min="12814" max="13056" width="9.140625" style="229"/>
    <col min="13057" max="13060" width="5.140625" style="229" customWidth="1"/>
    <col min="13061" max="13061" width="86.85546875" style="229" customWidth="1"/>
    <col min="13062" max="13062" width="13.140625" style="229" bestFit="1" customWidth="1"/>
    <col min="13063" max="13063" width="21.140625" style="229" customWidth="1"/>
    <col min="13064" max="13064" width="22.85546875" style="229" customWidth="1"/>
    <col min="13065" max="13065" width="33.140625" style="229" customWidth="1"/>
    <col min="13066" max="13068" width="9.140625" style="229"/>
    <col min="13069" max="13069" width="46.28515625" style="229" customWidth="1"/>
    <col min="13070" max="13312" width="9.140625" style="229"/>
    <col min="13313" max="13316" width="5.140625" style="229" customWidth="1"/>
    <col min="13317" max="13317" width="86.85546875" style="229" customWidth="1"/>
    <col min="13318" max="13318" width="13.140625" style="229" bestFit="1" customWidth="1"/>
    <col min="13319" max="13319" width="21.140625" style="229" customWidth="1"/>
    <col min="13320" max="13320" width="22.85546875" style="229" customWidth="1"/>
    <col min="13321" max="13321" width="33.140625" style="229" customWidth="1"/>
    <col min="13322" max="13324" width="9.140625" style="229"/>
    <col min="13325" max="13325" width="46.28515625" style="229" customWidth="1"/>
    <col min="13326" max="13568" width="9.140625" style="229"/>
    <col min="13569" max="13572" width="5.140625" style="229" customWidth="1"/>
    <col min="13573" max="13573" width="86.85546875" style="229" customWidth="1"/>
    <col min="13574" max="13574" width="13.140625" style="229" bestFit="1" customWidth="1"/>
    <col min="13575" max="13575" width="21.140625" style="229" customWidth="1"/>
    <col min="13576" max="13576" width="22.85546875" style="229" customWidth="1"/>
    <col min="13577" max="13577" width="33.140625" style="229" customWidth="1"/>
    <col min="13578" max="13580" width="9.140625" style="229"/>
    <col min="13581" max="13581" width="46.28515625" style="229" customWidth="1"/>
    <col min="13582" max="13824" width="9.140625" style="229"/>
    <col min="13825" max="13828" width="5.140625" style="229" customWidth="1"/>
    <col min="13829" max="13829" width="86.85546875" style="229" customWidth="1"/>
    <col min="13830" max="13830" width="13.140625" style="229" bestFit="1" customWidth="1"/>
    <col min="13831" max="13831" width="21.140625" style="229" customWidth="1"/>
    <col min="13832" max="13832" width="22.85546875" style="229" customWidth="1"/>
    <col min="13833" max="13833" width="33.140625" style="229" customWidth="1"/>
    <col min="13834" max="13836" width="9.140625" style="229"/>
    <col min="13837" max="13837" width="46.28515625" style="229" customWidth="1"/>
    <col min="13838" max="14080" width="9.140625" style="229"/>
    <col min="14081" max="14084" width="5.140625" style="229" customWidth="1"/>
    <col min="14085" max="14085" width="86.85546875" style="229" customWidth="1"/>
    <col min="14086" max="14086" width="13.140625" style="229" bestFit="1" customWidth="1"/>
    <col min="14087" max="14087" width="21.140625" style="229" customWidth="1"/>
    <col min="14088" max="14088" width="22.85546875" style="229" customWidth="1"/>
    <col min="14089" max="14089" width="33.140625" style="229" customWidth="1"/>
    <col min="14090" max="14092" width="9.140625" style="229"/>
    <col min="14093" max="14093" width="46.28515625" style="229" customWidth="1"/>
    <col min="14094" max="14336" width="9.140625" style="229"/>
    <col min="14337" max="14340" width="5.140625" style="229" customWidth="1"/>
    <col min="14341" max="14341" width="86.85546875" style="229" customWidth="1"/>
    <col min="14342" max="14342" width="13.140625" style="229" bestFit="1" customWidth="1"/>
    <col min="14343" max="14343" width="21.140625" style="229" customWidth="1"/>
    <col min="14344" max="14344" width="22.85546875" style="229" customWidth="1"/>
    <col min="14345" max="14345" width="33.140625" style="229" customWidth="1"/>
    <col min="14346" max="14348" width="9.140625" style="229"/>
    <col min="14349" max="14349" width="46.28515625" style="229" customWidth="1"/>
    <col min="14350" max="14592" width="9.140625" style="229"/>
    <col min="14593" max="14596" width="5.140625" style="229" customWidth="1"/>
    <col min="14597" max="14597" width="86.85546875" style="229" customWidth="1"/>
    <col min="14598" max="14598" width="13.140625" style="229" bestFit="1" customWidth="1"/>
    <col min="14599" max="14599" width="21.140625" style="229" customWidth="1"/>
    <col min="14600" max="14600" width="22.85546875" style="229" customWidth="1"/>
    <col min="14601" max="14601" width="33.140625" style="229" customWidth="1"/>
    <col min="14602" max="14604" width="9.140625" style="229"/>
    <col min="14605" max="14605" width="46.28515625" style="229" customWidth="1"/>
    <col min="14606" max="14848" width="9.140625" style="229"/>
    <col min="14849" max="14852" width="5.140625" style="229" customWidth="1"/>
    <col min="14853" max="14853" width="86.85546875" style="229" customWidth="1"/>
    <col min="14854" max="14854" width="13.140625" style="229" bestFit="1" customWidth="1"/>
    <col min="14855" max="14855" width="21.140625" style="229" customWidth="1"/>
    <col min="14856" max="14856" width="22.85546875" style="229" customWidth="1"/>
    <col min="14857" max="14857" width="33.140625" style="229" customWidth="1"/>
    <col min="14858" max="14860" width="9.140625" style="229"/>
    <col min="14861" max="14861" width="46.28515625" style="229" customWidth="1"/>
    <col min="14862" max="15104" width="9.140625" style="229"/>
    <col min="15105" max="15108" width="5.140625" style="229" customWidth="1"/>
    <col min="15109" max="15109" width="86.85546875" style="229" customWidth="1"/>
    <col min="15110" max="15110" width="13.140625" style="229" bestFit="1" customWidth="1"/>
    <col min="15111" max="15111" width="21.140625" style="229" customWidth="1"/>
    <col min="15112" max="15112" width="22.85546875" style="229" customWidth="1"/>
    <col min="15113" max="15113" width="33.140625" style="229" customWidth="1"/>
    <col min="15114" max="15116" width="9.140625" style="229"/>
    <col min="15117" max="15117" width="46.28515625" style="229" customWidth="1"/>
    <col min="15118" max="15360" width="9.140625" style="229"/>
    <col min="15361" max="15364" width="5.140625" style="229" customWidth="1"/>
    <col min="15365" max="15365" width="86.85546875" style="229" customWidth="1"/>
    <col min="15366" max="15366" width="13.140625" style="229" bestFit="1" customWidth="1"/>
    <col min="15367" max="15367" width="21.140625" style="229" customWidth="1"/>
    <col min="15368" max="15368" width="22.85546875" style="229" customWidth="1"/>
    <col min="15369" max="15369" width="33.140625" style="229" customWidth="1"/>
    <col min="15370" max="15372" width="9.140625" style="229"/>
    <col min="15373" max="15373" width="46.28515625" style="229" customWidth="1"/>
    <col min="15374" max="15616" width="9.140625" style="229"/>
    <col min="15617" max="15620" width="5.140625" style="229" customWidth="1"/>
    <col min="15621" max="15621" width="86.85546875" style="229" customWidth="1"/>
    <col min="15622" max="15622" width="13.140625" style="229" bestFit="1" customWidth="1"/>
    <col min="15623" max="15623" width="21.140625" style="229" customWidth="1"/>
    <col min="15624" max="15624" width="22.85546875" style="229" customWidth="1"/>
    <col min="15625" max="15625" width="33.140625" style="229" customWidth="1"/>
    <col min="15626" max="15628" width="9.140625" style="229"/>
    <col min="15629" max="15629" width="46.28515625" style="229" customWidth="1"/>
    <col min="15630" max="15872" width="9.140625" style="229"/>
    <col min="15873" max="15876" width="5.140625" style="229" customWidth="1"/>
    <col min="15877" max="15877" width="86.85546875" style="229" customWidth="1"/>
    <col min="15878" max="15878" width="13.140625" style="229" bestFit="1" customWidth="1"/>
    <col min="15879" max="15879" width="21.140625" style="229" customWidth="1"/>
    <col min="15880" max="15880" width="22.85546875" style="229" customWidth="1"/>
    <col min="15881" max="15881" width="33.140625" style="229" customWidth="1"/>
    <col min="15882" max="15884" width="9.140625" style="229"/>
    <col min="15885" max="15885" width="46.28515625" style="229" customWidth="1"/>
    <col min="15886" max="16128" width="9.140625" style="229"/>
    <col min="16129" max="16132" width="5.140625" style="229" customWidth="1"/>
    <col min="16133" max="16133" width="86.85546875" style="229" customWidth="1"/>
    <col min="16134" max="16134" width="13.140625" style="229" bestFit="1" customWidth="1"/>
    <col min="16135" max="16135" width="21.140625" style="229" customWidth="1"/>
    <col min="16136" max="16136" width="22.85546875" style="229" customWidth="1"/>
    <col min="16137" max="16137" width="33.140625" style="229" customWidth="1"/>
    <col min="16138" max="16140" width="9.140625" style="229"/>
    <col min="16141" max="16141" width="46.28515625" style="229" customWidth="1"/>
    <col min="16142" max="16384" width="9.140625" style="229"/>
  </cols>
  <sheetData>
    <row r="1" spans="1:9" s="317" customFormat="1" ht="29.25" customHeight="1">
      <c r="A1" s="706" t="s">
        <v>938</v>
      </c>
      <c r="B1" s="706"/>
      <c r="C1" s="706"/>
      <c r="D1" s="706"/>
      <c r="E1" s="706"/>
      <c r="F1" s="706"/>
      <c r="G1" s="706"/>
      <c r="H1" s="706"/>
      <c r="I1" s="706"/>
    </row>
    <row r="2" spans="1:9" s="317" customFormat="1" ht="29.25" customHeight="1">
      <c r="A2" s="706" t="s">
        <v>946</v>
      </c>
      <c r="B2" s="706"/>
      <c r="C2" s="706"/>
      <c r="D2" s="706"/>
      <c r="E2" s="706"/>
      <c r="F2" s="706"/>
      <c r="G2" s="706"/>
      <c r="H2" s="706"/>
      <c r="I2" s="706"/>
    </row>
    <row r="3" spans="1:9" s="215" customFormat="1" ht="24" customHeight="1">
      <c r="F3" s="216"/>
      <c r="H3" s="217"/>
      <c r="I3" s="217"/>
    </row>
    <row r="4" spans="1:9" s="218" customFormat="1" ht="24" customHeight="1">
      <c r="A4" s="218" t="s">
        <v>339</v>
      </c>
      <c r="E4" s="218" t="s">
        <v>1</v>
      </c>
      <c r="F4" s="219"/>
      <c r="G4" s="218" t="s">
        <v>61</v>
      </c>
      <c r="H4" s="220" t="s">
        <v>62</v>
      </c>
      <c r="I4" s="221"/>
    </row>
    <row r="5" spans="1:9" s="218" customFormat="1" ht="24" customHeight="1">
      <c r="A5" s="222" t="s">
        <v>340</v>
      </c>
      <c r="B5" s="223"/>
      <c r="C5" s="223"/>
      <c r="D5" s="223"/>
      <c r="E5" s="224" t="s">
        <v>3</v>
      </c>
      <c r="F5" s="225"/>
      <c r="G5" s="226" t="s">
        <v>63</v>
      </c>
      <c r="H5" s="224" t="s">
        <v>64</v>
      </c>
      <c r="I5" s="227"/>
    </row>
    <row r="6" spans="1:9" ht="15.75">
      <c r="A6" s="29"/>
      <c r="B6" s="29"/>
      <c r="C6" s="29"/>
      <c r="D6" s="29"/>
      <c r="E6" s="30"/>
      <c r="F6" s="228"/>
      <c r="G6" s="30"/>
      <c r="H6" s="31"/>
      <c r="I6" s="31"/>
    </row>
    <row r="7" spans="1:9" s="230" customFormat="1" ht="29.25" customHeight="1">
      <c r="A7" s="709" t="s">
        <v>301</v>
      </c>
      <c r="B7" s="709"/>
      <c r="C7" s="709"/>
      <c r="D7" s="709"/>
      <c r="E7" s="709" t="s">
        <v>302</v>
      </c>
      <c r="F7" s="715" t="s">
        <v>5</v>
      </c>
      <c r="G7" s="712" t="s">
        <v>303</v>
      </c>
      <c r="H7" s="712" t="s">
        <v>68</v>
      </c>
      <c r="I7" s="712" t="s">
        <v>908</v>
      </c>
    </row>
    <row r="8" spans="1:9" s="230" customFormat="1" ht="24.75" customHeight="1">
      <c r="A8" s="709"/>
      <c r="B8" s="709"/>
      <c r="C8" s="709"/>
      <c r="D8" s="709"/>
      <c r="E8" s="709"/>
      <c r="F8" s="716"/>
      <c r="G8" s="713"/>
      <c r="H8" s="713"/>
      <c r="I8" s="713"/>
    </row>
    <row r="9" spans="1:9" s="230" customFormat="1" ht="15.75">
      <c r="A9" s="704">
        <v>1</v>
      </c>
      <c r="B9" s="704"/>
      <c r="C9" s="704"/>
      <c r="D9" s="704"/>
      <c r="E9" s="231">
        <v>2</v>
      </c>
      <c r="F9" s="232">
        <v>3</v>
      </c>
      <c r="G9" s="231">
        <v>4</v>
      </c>
      <c r="H9" s="231">
        <v>5</v>
      </c>
      <c r="I9" s="231">
        <v>6</v>
      </c>
    </row>
    <row r="10" spans="1:9" s="230" customFormat="1" ht="30" customHeight="1">
      <c r="A10" s="233">
        <v>5</v>
      </c>
      <c r="B10" s="233"/>
      <c r="C10" s="233"/>
      <c r="D10" s="233"/>
      <c r="E10" s="234" t="s">
        <v>909</v>
      </c>
      <c r="F10" s="235"/>
      <c r="G10" s="236">
        <f>G11+G45+G71+G91+G112</f>
        <v>2784421520</v>
      </c>
      <c r="H10" s="235"/>
      <c r="I10" s="235"/>
    </row>
    <row r="11" spans="1:9" s="230" customFormat="1" ht="30" customHeight="1">
      <c r="A11" s="237">
        <v>5</v>
      </c>
      <c r="B11" s="237">
        <v>1</v>
      </c>
      <c r="C11" s="237"/>
      <c r="D11" s="237"/>
      <c r="E11" s="238" t="s">
        <v>6</v>
      </c>
      <c r="F11" s="239"/>
      <c r="G11" s="240">
        <f>G12+G20+G26+G30+G42</f>
        <v>1056590280</v>
      </c>
      <c r="H11" s="239"/>
      <c r="I11" s="239"/>
    </row>
    <row r="12" spans="1:9" s="230" customFormat="1" ht="39" customHeight="1">
      <c r="A12" s="241">
        <v>5</v>
      </c>
      <c r="B12" s="241">
        <v>1</v>
      </c>
      <c r="C12" s="241">
        <v>1</v>
      </c>
      <c r="D12" s="241"/>
      <c r="E12" s="242" t="s">
        <v>304</v>
      </c>
      <c r="F12" s="243" t="s">
        <v>910</v>
      </c>
      <c r="G12" s="244">
        <f>SUM(G13:G19)</f>
        <v>858670280</v>
      </c>
      <c r="H12" s="243" t="s">
        <v>8</v>
      </c>
      <c r="I12" s="243"/>
    </row>
    <row r="13" spans="1:9" s="249" customFormat="1" ht="24" customHeight="1">
      <c r="A13" s="245">
        <v>5</v>
      </c>
      <c r="B13" s="245">
        <v>1</v>
      </c>
      <c r="C13" s="245">
        <v>1</v>
      </c>
      <c r="D13" s="245">
        <v>1</v>
      </c>
      <c r="E13" s="246" t="s">
        <v>7</v>
      </c>
      <c r="F13" s="247" t="s">
        <v>910</v>
      </c>
      <c r="G13" s="248">
        <v>37500000</v>
      </c>
      <c r="H13" s="247" t="s">
        <v>8</v>
      </c>
      <c r="I13" s="247" t="s">
        <v>9</v>
      </c>
    </row>
    <row r="14" spans="1:9" s="249" customFormat="1" ht="26.25" customHeight="1">
      <c r="A14" s="245">
        <v>5</v>
      </c>
      <c r="B14" s="245">
        <v>1</v>
      </c>
      <c r="C14" s="245">
        <v>1</v>
      </c>
      <c r="D14" s="245">
        <v>2</v>
      </c>
      <c r="E14" s="246" t="s">
        <v>10</v>
      </c>
      <c r="F14" s="247" t="s">
        <v>910</v>
      </c>
      <c r="G14" s="248">
        <v>652500000</v>
      </c>
      <c r="H14" s="247" t="s">
        <v>8</v>
      </c>
      <c r="I14" s="247" t="s">
        <v>9</v>
      </c>
    </row>
    <row r="15" spans="1:9" s="249" customFormat="1" ht="23.25" customHeight="1">
      <c r="A15" s="245">
        <v>5</v>
      </c>
      <c r="B15" s="245">
        <v>1</v>
      </c>
      <c r="C15" s="245">
        <v>1</v>
      </c>
      <c r="D15" s="245">
        <v>3</v>
      </c>
      <c r="E15" s="250" t="s">
        <v>11</v>
      </c>
      <c r="F15" s="247" t="s">
        <v>910</v>
      </c>
      <c r="G15" s="248">
        <v>51060972</v>
      </c>
      <c r="H15" s="247" t="s">
        <v>8</v>
      </c>
      <c r="I15" s="247" t="s">
        <v>9</v>
      </c>
    </row>
    <row r="16" spans="1:9" s="249" customFormat="1" ht="50.25" customHeight="1">
      <c r="A16" s="245">
        <v>5</v>
      </c>
      <c r="B16" s="245">
        <v>1</v>
      </c>
      <c r="C16" s="245">
        <v>1</v>
      </c>
      <c r="D16" s="245">
        <v>4</v>
      </c>
      <c r="E16" s="251" t="s">
        <v>12</v>
      </c>
      <c r="F16" s="252" t="s">
        <v>910</v>
      </c>
      <c r="G16" s="253">
        <v>43884308</v>
      </c>
      <c r="H16" s="252" t="s">
        <v>8</v>
      </c>
      <c r="I16" s="254" t="s">
        <v>911</v>
      </c>
    </row>
    <row r="17" spans="1:13" s="249" customFormat="1" ht="27" customHeight="1">
      <c r="A17" s="245">
        <v>5</v>
      </c>
      <c r="B17" s="245">
        <v>1</v>
      </c>
      <c r="C17" s="245">
        <v>1</v>
      </c>
      <c r="D17" s="245">
        <v>5</v>
      </c>
      <c r="E17" s="250" t="s">
        <v>13</v>
      </c>
      <c r="F17" s="252" t="s">
        <v>910</v>
      </c>
      <c r="G17" s="253">
        <v>40625000</v>
      </c>
      <c r="H17" s="252" t="s">
        <v>8</v>
      </c>
      <c r="I17" s="252" t="s">
        <v>9</v>
      </c>
    </row>
    <row r="18" spans="1:13" s="249" customFormat="1" ht="35.25" customHeight="1">
      <c r="A18" s="245">
        <v>5</v>
      </c>
      <c r="B18" s="245">
        <v>1</v>
      </c>
      <c r="C18" s="245">
        <v>1</v>
      </c>
      <c r="D18" s="245">
        <v>6</v>
      </c>
      <c r="E18" s="251" t="s">
        <v>73</v>
      </c>
      <c r="F18" s="252" t="s">
        <v>910</v>
      </c>
      <c r="G18" s="253">
        <v>10000000</v>
      </c>
      <c r="H18" s="252" t="s">
        <v>8</v>
      </c>
      <c r="I18" s="252" t="s">
        <v>9</v>
      </c>
    </row>
    <row r="19" spans="1:13" s="249" customFormat="1" ht="16.5" customHeight="1">
      <c r="A19" s="245">
        <v>5</v>
      </c>
      <c r="B19" s="245">
        <v>1</v>
      </c>
      <c r="C19" s="245">
        <v>1</v>
      </c>
      <c r="D19" s="245">
        <v>7</v>
      </c>
      <c r="E19" s="250" t="s">
        <v>42</v>
      </c>
      <c r="F19" s="255" t="s">
        <v>910</v>
      </c>
      <c r="G19" s="255">
        <v>23100000</v>
      </c>
      <c r="H19" s="255" t="s">
        <v>8</v>
      </c>
      <c r="I19" s="255" t="s">
        <v>9</v>
      </c>
    </row>
    <row r="20" spans="1:13" s="230" customFormat="1" ht="23.25" customHeight="1">
      <c r="A20" s="241">
        <v>5</v>
      </c>
      <c r="B20" s="241">
        <v>1</v>
      </c>
      <c r="C20" s="241">
        <v>2</v>
      </c>
      <c r="D20" s="241"/>
      <c r="E20" s="256" t="s">
        <v>306</v>
      </c>
      <c r="F20" s="243" t="s">
        <v>910</v>
      </c>
      <c r="G20" s="244">
        <f>SUM(G21:G25)</f>
        <v>19900000</v>
      </c>
      <c r="H20" s="243" t="s">
        <v>8</v>
      </c>
      <c r="I20" s="243"/>
    </row>
    <row r="21" spans="1:13" s="249" customFormat="1" ht="23.25" customHeight="1">
      <c r="A21" s="257">
        <v>5</v>
      </c>
      <c r="B21" s="257">
        <v>1</v>
      </c>
      <c r="C21" s="257">
        <v>2</v>
      </c>
      <c r="D21" s="257">
        <v>2</v>
      </c>
      <c r="E21" s="250" t="s">
        <v>39</v>
      </c>
      <c r="F21" s="252" t="s">
        <v>910</v>
      </c>
      <c r="G21" s="253">
        <v>4000000</v>
      </c>
      <c r="H21" s="252" t="s">
        <v>8</v>
      </c>
      <c r="I21" s="252" t="s">
        <v>9</v>
      </c>
    </row>
    <row r="22" spans="1:13" s="249" customFormat="1" ht="23.25" customHeight="1">
      <c r="A22" s="257">
        <v>5</v>
      </c>
      <c r="B22" s="257">
        <v>1</v>
      </c>
      <c r="C22" s="257">
        <v>2</v>
      </c>
      <c r="D22" s="258">
        <v>90</v>
      </c>
      <c r="E22" s="250" t="s">
        <v>38</v>
      </c>
      <c r="F22" s="255" t="s">
        <v>910</v>
      </c>
      <c r="G22" s="255">
        <v>8000000</v>
      </c>
      <c r="H22" s="255" t="s">
        <v>8</v>
      </c>
      <c r="I22" s="255" t="s">
        <v>9</v>
      </c>
    </row>
    <row r="23" spans="1:13" s="249" customFormat="1" ht="23.25" customHeight="1">
      <c r="A23" s="257">
        <v>5</v>
      </c>
      <c r="B23" s="257">
        <v>1</v>
      </c>
      <c r="C23" s="257">
        <v>2</v>
      </c>
      <c r="D23" s="258">
        <v>92</v>
      </c>
      <c r="E23" s="250" t="s">
        <v>307</v>
      </c>
      <c r="F23" s="255" t="s">
        <v>910</v>
      </c>
      <c r="G23" s="255">
        <v>4700000</v>
      </c>
      <c r="H23" s="255" t="s">
        <v>8</v>
      </c>
      <c r="I23" s="255" t="s">
        <v>9</v>
      </c>
    </row>
    <row r="24" spans="1:13" s="230" customFormat="1" ht="23.25" customHeight="1">
      <c r="A24" s="257">
        <v>5</v>
      </c>
      <c r="B24" s="257">
        <v>1</v>
      </c>
      <c r="C24" s="257">
        <v>2</v>
      </c>
      <c r="D24" s="258">
        <v>94</v>
      </c>
      <c r="E24" s="251" t="s">
        <v>40</v>
      </c>
      <c r="F24" s="252" t="s">
        <v>910</v>
      </c>
      <c r="G24" s="253">
        <v>1500000</v>
      </c>
      <c r="H24" s="252" t="s">
        <v>8</v>
      </c>
      <c r="I24" s="252" t="s">
        <v>9</v>
      </c>
    </row>
    <row r="25" spans="1:13" s="230" customFormat="1" ht="23.25" customHeight="1">
      <c r="A25" s="257">
        <v>5</v>
      </c>
      <c r="B25" s="257">
        <v>1</v>
      </c>
      <c r="C25" s="257">
        <v>2</v>
      </c>
      <c r="D25" s="245">
        <v>95</v>
      </c>
      <c r="E25" s="250" t="s">
        <v>82</v>
      </c>
      <c r="F25" s="255" t="s">
        <v>910</v>
      </c>
      <c r="G25" s="259">
        <v>1700000</v>
      </c>
      <c r="H25" s="255" t="s">
        <v>8</v>
      </c>
      <c r="I25" s="255" t="s">
        <v>9</v>
      </c>
    </row>
    <row r="26" spans="1:13" s="230" customFormat="1" ht="30.75" customHeight="1">
      <c r="A26" s="260">
        <v>5</v>
      </c>
      <c r="B26" s="260">
        <v>1</v>
      </c>
      <c r="C26" s="260">
        <v>3</v>
      </c>
      <c r="D26" s="260"/>
      <c r="E26" s="261" t="s">
        <v>308</v>
      </c>
      <c r="F26" s="243" t="s">
        <v>910</v>
      </c>
      <c r="G26" s="244">
        <f>SUM(G27:G29)</f>
        <v>17360000</v>
      </c>
      <c r="H26" s="243" t="s">
        <v>8</v>
      </c>
      <c r="I26" s="243"/>
      <c r="M26" s="230">
        <f>222012500-130862500</f>
        <v>91150000</v>
      </c>
    </row>
    <row r="27" spans="1:13" s="215" customFormat="1" ht="26.25" customHeight="1">
      <c r="A27" s="258">
        <v>5</v>
      </c>
      <c r="B27" s="258">
        <v>1</v>
      </c>
      <c r="C27" s="258">
        <v>3</v>
      </c>
      <c r="D27" s="258">
        <v>2</v>
      </c>
      <c r="E27" s="262" t="s">
        <v>912</v>
      </c>
      <c r="F27" s="255" t="s">
        <v>910</v>
      </c>
      <c r="G27" s="259">
        <v>10000000</v>
      </c>
      <c r="H27" s="255" t="s">
        <v>8</v>
      </c>
      <c r="I27" s="255" t="s">
        <v>9</v>
      </c>
    </row>
    <row r="28" spans="1:13" s="215" customFormat="1" ht="26.25" customHeight="1">
      <c r="A28" s="258">
        <v>5</v>
      </c>
      <c r="B28" s="258">
        <v>1</v>
      </c>
      <c r="C28" s="258">
        <v>3</v>
      </c>
      <c r="D28" s="258">
        <v>90</v>
      </c>
      <c r="E28" s="250" t="s">
        <v>47</v>
      </c>
      <c r="F28" s="252" t="s">
        <v>910</v>
      </c>
      <c r="G28" s="253">
        <v>3600000</v>
      </c>
      <c r="H28" s="252" t="s">
        <v>8</v>
      </c>
      <c r="I28" s="252" t="s">
        <v>9</v>
      </c>
    </row>
    <row r="29" spans="1:13" s="215" customFormat="1" ht="26.25" customHeight="1">
      <c r="A29" s="258">
        <v>5</v>
      </c>
      <c r="B29" s="258">
        <v>1</v>
      </c>
      <c r="C29" s="258">
        <v>3</v>
      </c>
      <c r="D29" s="263">
        <v>91</v>
      </c>
      <c r="E29" s="250" t="s">
        <v>309</v>
      </c>
      <c r="F29" s="252" t="s">
        <v>910</v>
      </c>
      <c r="G29" s="253">
        <v>3760000</v>
      </c>
      <c r="H29" s="252" t="s">
        <v>8</v>
      </c>
      <c r="I29" s="252" t="s">
        <v>9</v>
      </c>
    </row>
    <row r="30" spans="1:13" s="230" customFormat="1" ht="39" customHeight="1">
      <c r="A30" s="260">
        <v>5</v>
      </c>
      <c r="B30" s="260">
        <v>1</v>
      </c>
      <c r="C30" s="260">
        <v>4</v>
      </c>
      <c r="D30" s="260"/>
      <c r="E30" s="264" t="s">
        <v>90</v>
      </c>
      <c r="F30" s="243" t="s">
        <v>910</v>
      </c>
      <c r="G30" s="244">
        <f>SUM(G31:G41)</f>
        <v>144160000</v>
      </c>
      <c r="H30" s="243" t="s">
        <v>8</v>
      </c>
      <c r="I30" s="243"/>
    </row>
    <row r="31" spans="1:13" s="230" customFormat="1" ht="36.75" customHeight="1">
      <c r="A31" s="265">
        <v>5</v>
      </c>
      <c r="B31" s="265">
        <v>1</v>
      </c>
      <c r="C31" s="265">
        <v>4</v>
      </c>
      <c r="D31" s="265">
        <v>1</v>
      </c>
      <c r="E31" s="266" t="s">
        <v>91</v>
      </c>
      <c r="F31" s="255" t="s">
        <v>910</v>
      </c>
      <c r="G31" s="259">
        <v>5000000</v>
      </c>
      <c r="H31" s="255" t="s">
        <v>8</v>
      </c>
      <c r="I31" s="255" t="s">
        <v>9</v>
      </c>
    </row>
    <row r="32" spans="1:13" s="230" customFormat="1" ht="29.25" customHeight="1">
      <c r="A32" s="265">
        <v>5</v>
      </c>
      <c r="B32" s="265">
        <v>1</v>
      </c>
      <c r="C32" s="265">
        <v>4</v>
      </c>
      <c r="D32" s="258">
        <v>3</v>
      </c>
      <c r="E32" s="251" t="s">
        <v>93</v>
      </c>
      <c r="F32" s="267" t="s">
        <v>910</v>
      </c>
      <c r="G32" s="268">
        <v>2980000</v>
      </c>
      <c r="H32" s="267" t="s">
        <v>8</v>
      </c>
      <c r="I32" s="267" t="s">
        <v>9</v>
      </c>
    </row>
    <row r="33" spans="1:9" s="270" customFormat="1" ht="35.25" customHeight="1">
      <c r="A33" s="265">
        <v>5</v>
      </c>
      <c r="B33" s="265">
        <v>1</v>
      </c>
      <c r="C33" s="265">
        <v>4</v>
      </c>
      <c r="D33" s="258">
        <v>4</v>
      </c>
      <c r="E33" s="269" t="s">
        <v>94</v>
      </c>
      <c r="F33" s="247" t="s">
        <v>910</v>
      </c>
      <c r="G33" s="248">
        <v>6300000</v>
      </c>
      <c r="H33" s="247" t="s">
        <v>8</v>
      </c>
      <c r="I33" s="247" t="s">
        <v>9</v>
      </c>
    </row>
    <row r="34" spans="1:9" s="230" customFormat="1" ht="24" customHeight="1">
      <c r="A34" s="265">
        <v>5</v>
      </c>
      <c r="B34" s="265">
        <v>1</v>
      </c>
      <c r="C34" s="265">
        <v>4</v>
      </c>
      <c r="D34" s="258">
        <v>5</v>
      </c>
      <c r="E34" s="246" t="s">
        <v>95</v>
      </c>
      <c r="F34" s="271" t="s">
        <v>910</v>
      </c>
      <c r="G34" s="272">
        <v>4400000</v>
      </c>
      <c r="H34" s="271" t="s">
        <v>8</v>
      </c>
      <c r="I34" s="271" t="s">
        <v>9</v>
      </c>
    </row>
    <row r="35" spans="1:9" s="230" customFormat="1" ht="36" customHeight="1">
      <c r="A35" s="265">
        <v>5</v>
      </c>
      <c r="B35" s="265">
        <v>1</v>
      </c>
      <c r="C35" s="265">
        <v>4</v>
      </c>
      <c r="D35" s="258">
        <v>6</v>
      </c>
      <c r="E35" s="246" t="s">
        <v>96</v>
      </c>
      <c r="F35" s="271" t="s">
        <v>910</v>
      </c>
      <c r="G35" s="272">
        <v>2980000</v>
      </c>
      <c r="H35" s="271" t="s">
        <v>8</v>
      </c>
      <c r="I35" s="271" t="s">
        <v>9</v>
      </c>
    </row>
    <row r="36" spans="1:9" s="230" customFormat="1" ht="62.25" customHeight="1">
      <c r="A36" s="273">
        <v>5</v>
      </c>
      <c r="B36" s="273">
        <v>1</v>
      </c>
      <c r="C36" s="273">
        <v>4</v>
      </c>
      <c r="D36" s="273">
        <v>7</v>
      </c>
      <c r="E36" s="251" t="s">
        <v>16</v>
      </c>
      <c r="F36" s="252" t="s">
        <v>910</v>
      </c>
      <c r="G36" s="253">
        <v>3100000</v>
      </c>
      <c r="H36" s="252" t="s">
        <v>8</v>
      </c>
      <c r="I36" s="252" t="s">
        <v>9</v>
      </c>
    </row>
    <row r="37" spans="1:9" s="215" customFormat="1" ht="26.25" customHeight="1">
      <c r="A37" s="258">
        <v>5</v>
      </c>
      <c r="B37" s="258">
        <v>1</v>
      </c>
      <c r="C37" s="258">
        <v>4</v>
      </c>
      <c r="D37" s="258">
        <v>8</v>
      </c>
      <c r="E37" s="246" t="s">
        <v>913</v>
      </c>
      <c r="F37" s="252" t="s">
        <v>910</v>
      </c>
      <c r="G37" s="253">
        <v>6000000</v>
      </c>
      <c r="H37" s="252" t="s">
        <v>8</v>
      </c>
      <c r="I37" s="252" t="s">
        <v>914</v>
      </c>
    </row>
    <row r="38" spans="1:9" s="230" customFormat="1" ht="37.5" customHeight="1">
      <c r="A38" s="265">
        <v>5</v>
      </c>
      <c r="B38" s="265">
        <v>1</v>
      </c>
      <c r="C38" s="265">
        <v>4</v>
      </c>
      <c r="D38" s="258">
        <v>10</v>
      </c>
      <c r="E38" s="246" t="s">
        <v>100</v>
      </c>
      <c r="F38" s="267" t="s">
        <v>910</v>
      </c>
      <c r="G38" s="268">
        <v>92000000</v>
      </c>
      <c r="H38" s="267" t="s">
        <v>8</v>
      </c>
      <c r="I38" s="267" t="s">
        <v>937</v>
      </c>
    </row>
    <row r="39" spans="1:9" s="230" customFormat="1" ht="21.75" customHeight="1">
      <c r="A39" s="265">
        <v>5</v>
      </c>
      <c r="B39" s="265">
        <v>1</v>
      </c>
      <c r="C39" s="265">
        <v>4</v>
      </c>
      <c r="D39" s="258">
        <v>90</v>
      </c>
      <c r="E39" s="250" t="s">
        <v>50</v>
      </c>
      <c r="F39" s="271" t="s">
        <v>910</v>
      </c>
      <c r="G39" s="272">
        <v>4300000</v>
      </c>
      <c r="H39" s="271" t="s">
        <v>8</v>
      </c>
      <c r="I39" s="271" t="s">
        <v>9</v>
      </c>
    </row>
    <row r="40" spans="1:9" s="249" customFormat="1" ht="21.75" customHeight="1">
      <c r="A40" s="265">
        <v>5</v>
      </c>
      <c r="B40" s="265">
        <v>1</v>
      </c>
      <c r="C40" s="265">
        <v>4</v>
      </c>
      <c r="D40" s="258">
        <v>92</v>
      </c>
      <c r="E40" s="250" t="s">
        <v>310</v>
      </c>
      <c r="F40" s="271" t="s">
        <v>910</v>
      </c>
      <c r="G40" s="272">
        <v>9000000</v>
      </c>
      <c r="H40" s="271" t="s">
        <v>8</v>
      </c>
      <c r="I40" s="271" t="s">
        <v>9</v>
      </c>
    </row>
    <row r="41" spans="1:9" s="249" customFormat="1" ht="21.75" customHeight="1">
      <c r="A41" s="265">
        <v>5</v>
      </c>
      <c r="B41" s="265">
        <v>1</v>
      </c>
      <c r="C41" s="265">
        <v>4</v>
      </c>
      <c r="D41" s="258">
        <v>95</v>
      </c>
      <c r="E41" s="250" t="s">
        <v>311</v>
      </c>
      <c r="F41" s="271" t="s">
        <v>910</v>
      </c>
      <c r="G41" s="272">
        <v>8100000</v>
      </c>
      <c r="H41" s="271" t="s">
        <v>8</v>
      </c>
      <c r="I41" s="271" t="s">
        <v>9</v>
      </c>
    </row>
    <row r="42" spans="1:9" s="230" customFormat="1" ht="21.75" customHeight="1">
      <c r="A42" s="260">
        <v>5</v>
      </c>
      <c r="B42" s="260">
        <v>1</v>
      </c>
      <c r="C42" s="260">
        <v>5</v>
      </c>
      <c r="D42" s="260"/>
      <c r="E42" s="256" t="s">
        <v>17</v>
      </c>
      <c r="F42" s="274" t="s">
        <v>910</v>
      </c>
      <c r="G42" s="275">
        <f>SUM(G43:G44)</f>
        <v>16500000</v>
      </c>
      <c r="H42" s="274" t="s">
        <v>8</v>
      </c>
      <c r="I42" s="274"/>
    </row>
    <row r="43" spans="1:9" s="249" customFormat="1" ht="33" customHeight="1">
      <c r="A43" s="258">
        <v>5</v>
      </c>
      <c r="B43" s="258">
        <v>1</v>
      </c>
      <c r="C43" s="258">
        <v>5</v>
      </c>
      <c r="D43" s="258">
        <v>93</v>
      </c>
      <c r="E43" s="246" t="s">
        <v>312</v>
      </c>
      <c r="F43" s="271" t="s">
        <v>910</v>
      </c>
      <c r="G43" s="272">
        <v>2500000</v>
      </c>
      <c r="H43" s="271" t="s">
        <v>8</v>
      </c>
      <c r="I43" s="271" t="s">
        <v>9</v>
      </c>
    </row>
    <row r="44" spans="1:9" s="230" customFormat="1" ht="23.25" customHeight="1">
      <c r="A44" s="258">
        <v>5</v>
      </c>
      <c r="B44" s="258">
        <v>1</v>
      </c>
      <c r="C44" s="258">
        <v>5</v>
      </c>
      <c r="D44" s="258">
        <v>94</v>
      </c>
      <c r="E44" s="250" t="s">
        <v>51</v>
      </c>
      <c r="F44" s="252" t="s">
        <v>910</v>
      </c>
      <c r="G44" s="253">
        <v>14000000</v>
      </c>
      <c r="H44" s="252" t="s">
        <v>8</v>
      </c>
      <c r="I44" s="252" t="s">
        <v>9</v>
      </c>
    </row>
    <row r="45" spans="1:9" s="230" customFormat="1" ht="23.25" customHeight="1">
      <c r="A45" s="276">
        <v>5</v>
      </c>
      <c r="B45" s="276">
        <v>2</v>
      </c>
      <c r="C45" s="276"/>
      <c r="D45" s="276"/>
      <c r="E45" s="277" t="s">
        <v>19</v>
      </c>
      <c r="F45" s="278"/>
      <c r="G45" s="279">
        <f>G46+G51+G60+G65+G67+G69</f>
        <v>1292078800</v>
      </c>
      <c r="H45" s="278"/>
      <c r="I45" s="278"/>
    </row>
    <row r="46" spans="1:9" s="230" customFormat="1" ht="23.25" customHeight="1">
      <c r="A46" s="260">
        <v>5</v>
      </c>
      <c r="B46" s="260">
        <v>2</v>
      </c>
      <c r="C46" s="260">
        <v>1</v>
      </c>
      <c r="D46" s="260"/>
      <c r="E46" s="256" t="s">
        <v>20</v>
      </c>
      <c r="F46" s="243" t="s">
        <v>910</v>
      </c>
      <c r="G46" s="244">
        <f>SUM(G47:G50)</f>
        <v>66000000</v>
      </c>
      <c r="H46" s="243" t="s">
        <v>8</v>
      </c>
      <c r="I46" s="243"/>
    </row>
    <row r="47" spans="1:9" s="230" customFormat="1" ht="48.75" customHeight="1">
      <c r="A47" s="258">
        <v>5</v>
      </c>
      <c r="B47" s="258">
        <v>2</v>
      </c>
      <c r="C47" s="258">
        <v>1</v>
      </c>
      <c r="D47" s="258">
        <v>1</v>
      </c>
      <c r="E47" s="251" t="s">
        <v>916</v>
      </c>
      <c r="F47" s="255" t="s">
        <v>910</v>
      </c>
      <c r="G47" s="280">
        <v>23300000</v>
      </c>
      <c r="H47" s="255" t="s">
        <v>8</v>
      </c>
      <c r="I47" s="255" t="s">
        <v>914</v>
      </c>
    </row>
    <row r="48" spans="1:9" s="230" customFormat="1" ht="24.75" customHeight="1">
      <c r="A48" s="258">
        <v>5</v>
      </c>
      <c r="B48" s="258">
        <v>2</v>
      </c>
      <c r="C48" s="258">
        <v>1</v>
      </c>
      <c r="D48" s="258">
        <v>2</v>
      </c>
      <c r="E48" s="250" t="s">
        <v>117</v>
      </c>
      <c r="F48" s="255" t="s">
        <v>910</v>
      </c>
      <c r="G48" s="280">
        <v>13000000</v>
      </c>
      <c r="H48" s="255" t="s">
        <v>8</v>
      </c>
      <c r="I48" s="255" t="s">
        <v>914</v>
      </c>
    </row>
    <row r="49" spans="1:9" s="230" customFormat="1" ht="33.75" customHeight="1">
      <c r="A49" s="258">
        <v>5</v>
      </c>
      <c r="B49" s="258">
        <v>2</v>
      </c>
      <c r="C49" s="258">
        <v>1</v>
      </c>
      <c r="D49" s="258">
        <v>8</v>
      </c>
      <c r="E49" s="251" t="s">
        <v>917</v>
      </c>
      <c r="F49" s="255" t="s">
        <v>910</v>
      </c>
      <c r="G49" s="259">
        <v>4700000</v>
      </c>
      <c r="H49" s="255" t="s">
        <v>8</v>
      </c>
      <c r="I49" s="255" t="s">
        <v>914</v>
      </c>
    </row>
    <row r="50" spans="1:9" s="230" customFormat="1" ht="21.75" customHeight="1">
      <c r="A50" s="258">
        <v>5</v>
      </c>
      <c r="B50" s="258">
        <v>2</v>
      </c>
      <c r="C50" s="258">
        <v>1</v>
      </c>
      <c r="D50" s="258">
        <v>90</v>
      </c>
      <c r="E50" s="250" t="s">
        <v>122</v>
      </c>
      <c r="F50" s="255" t="s">
        <v>910</v>
      </c>
      <c r="G50" s="259">
        <v>25000000</v>
      </c>
      <c r="H50" s="255" t="s">
        <v>8</v>
      </c>
      <c r="I50" s="255" t="s">
        <v>914</v>
      </c>
    </row>
    <row r="51" spans="1:9" s="281" customFormat="1" ht="21.75" customHeight="1">
      <c r="A51" s="260">
        <v>5</v>
      </c>
      <c r="B51" s="260">
        <v>2</v>
      </c>
      <c r="C51" s="260">
        <v>2</v>
      </c>
      <c r="D51" s="260"/>
      <c r="E51" s="256" t="s">
        <v>22</v>
      </c>
      <c r="F51" s="243" t="s">
        <v>910</v>
      </c>
      <c r="G51" s="244">
        <f>SUM(G52:G59)</f>
        <v>171180000</v>
      </c>
      <c r="H51" s="243" t="s">
        <v>8</v>
      </c>
      <c r="I51" s="243"/>
    </row>
    <row r="52" spans="1:9" s="230" customFormat="1" ht="36.75" customHeight="1">
      <c r="A52" s="258">
        <v>5</v>
      </c>
      <c r="B52" s="258">
        <v>2</v>
      </c>
      <c r="C52" s="258">
        <v>2</v>
      </c>
      <c r="D52" s="258">
        <v>1</v>
      </c>
      <c r="E52" s="246" t="s">
        <v>23</v>
      </c>
      <c r="F52" s="255" t="s">
        <v>910</v>
      </c>
      <c r="G52" s="259">
        <v>56120000</v>
      </c>
      <c r="H52" s="255" t="s">
        <v>8</v>
      </c>
      <c r="I52" s="255" t="s">
        <v>914</v>
      </c>
    </row>
    <row r="53" spans="1:9" s="230" customFormat="1" ht="35.25" customHeight="1">
      <c r="A53" s="258">
        <v>5</v>
      </c>
      <c r="B53" s="258">
        <v>2</v>
      </c>
      <c r="C53" s="258">
        <v>2</v>
      </c>
      <c r="D53" s="258">
        <v>3</v>
      </c>
      <c r="E53" s="251" t="s">
        <v>313</v>
      </c>
      <c r="F53" s="255" t="s">
        <v>910</v>
      </c>
      <c r="G53" s="259">
        <v>6000000</v>
      </c>
      <c r="H53" s="255" t="s">
        <v>8</v>
      </c>
      <c r="I53" s="255" t="s">
        <v>914</v>
      </c>
    </row>
    <row r="54" spans="1:9" s="230" customFormat="1" ht="21.75" customHeight="1">
      <c r="A54" s="258">
        <v>5</v>
      </c>
      <c r="B54" s="258">
        <v>2</v>
      </c>
      <c r="C54" s="258">
        <v>2</v>
      </c>
      <c r="D54" s="258">
        <v>4</v>
      </c>
      <c r="E54" s="250" t="s">
        <v>24</v>
      </c>
      <c r="F54" s="255" t="s">
        <v>910</v>
      </c>
      <c r="G54" s="259">
        <v>15000000</v>
      </c>
      <c r="H54" s="255" t="s">
        <v>8</v>
      </c>
      <c r="I54" s="255" t="s">
        <v>914</v>
      </c>
    </row>
    <row r="55" spans="1:9" s="230" customFormat="1" ht="41.25" customHeight="1">
      <c r="A55" s="258">
        <v>5</v>
      </c>
      <c r="B55" s="258">
        <v>2</v>
      </c>
      <c r="C55" s="258">
        <v>2</v>
      </c>
      <c r="D55" s="258">
        <v>9</v>
      </c>
      <c r="E55" s="251" t="s">
        <v>130</v>
      </c>
      <c r="F55" s="255" t="s">
        <v>910</v>
      </c>
      <c r="G55" s="259">
        <v>14000000</v>
      </c>
      <c r="H55" s="255" t="s">
        <v>8</v>
      </c>
      <c r="I55" s="255" t="s">
        <v>914</v>
      </c>
    </row>
    <row r="56" spans="1:9" s="249" customFormat="1" ht="21.75" customHeight="1">
      <c r="A56" s="258">
        <v>5</v>
      </c>
      <c r="B56" s="258">
        <v>2</v>
      </c>
      <c r="C56" s="258">
        <v>2</v>
      </c>
      <c r="D56" s="258">
        <v>90</v>
      </c>
      <c r="E56" s="250" t="s">
        <v>131</v>
      </c>
      <c r="F56" s="255" t="s">
        <v>910</v>
      </c>
      <c r="G56" s="259">
        <v>3500000</v>
      </c>
      <c r="H56" s="255" t="s">
        <v>8</v>
      </c>
      <c r="I56" s="255" t="s">
        <v>914</v>
      </c>
    </row>
    <row r="57" spans="1:9" s="249" customFormat="1" ht="21.75" customHeight="1">
      <c r="A57" s="258">
        <v>5</v>
      </c>
      <c r="B57" s="258">
        <v>2</v>
      </c>
      <c r="C57" s="258">
        <v>2</v>
      </c>
      <c r="D57" s="258">
        <v>91</v>
      </c>
      <c r="E57" s="250" t="s">
        <v>132</v>
      </c>
      <c r="F57" s="255" t="s">
        <v>910</v>
      </c>
      <c r="G57" s="259">
        <v>9600000</v>
      </c>
      <c r="H57" s="255" t="s">
        <v>8</v>
      </c>
      <c r="I57" s="255" t="s">
        <v>914</v>
      </c>
    </row>
    <row r="58" spans="1:9" s="230" customFormat="1" ht="21.75" customHeight="1">
      <c r="A58" s="258">
        <v>5</v>
      </c>
      <c r="B58" s="258">
        <v>2</v>
      </c>
      <c r="C58" s="258">
        <v>2</v>
      </c>
      <c r="D58" s="258">
        <v>94</v>
      </c>
      <c r="E58" s="251" t="s">
        <v>57</v>
      </c>
      <c r="F58" s="255" t="s">
        <v>910</v>
      </c>
      <c r="G58" s="259">
        <v>14040000</v>
      </c>
      <c r="H58" s="255" t="s">
        <v>8</v>
      </c>
      <c r="I58" s="255" t="s">
        <v>914</v>
      </c>
    </row>
    <row r="59" spans="1:9" s="230" customFormat="1" ht="21.75" customHeight="1">
      <c r="A59" s="258">
        <v>5</v>
      </c>
      <c r="B59" s="258">
        <v>2</v>
      </c>
      <c r="C59" s="258">
        <v>2</v>
      </c>
      <c r="D59" s="258">
        <v>98</v>
      </c>
      <c r="E59" s="250" t="s">
        <v>314</v>
      </c>
      <c r="F59" s="252" t="s">
        <v>910</v>
      </c>
      <c r="G59" s="253">
        <v>52920000</v>
      </c>
      <c r="H59" s="252" t="s">
        <v>8</v>
      </c>
      <c r="I59" s="252" t="s">
        <v>914</v>
      </c>
    </row>
    <row r="60" spans="1:9" s="281" customFormat="1" ht="36.75" customHeight="1">
      <c r="A60" s="260">
        <v>5</v>
      </c>
      <c r="B60" s="260">
        <v>2</v>
      </c>
      <c r="C60" s="260">
        <v>3</v>
      </c>
      <c r="D60" s="260"/>
      <c r="E60" s="256" t="s">
        <v>25</v>
      </c>
      <c r="F60" s="243" t="s">
        <v>910</v>
      </c>
      <c r="G60" s="244">
        <f>SUM(G61:G64)</f>
        <v>973848800</v>
      </c>
      <c r="H60" s="243" t="s">
        <v>8</v>
      </c>
      <c r="I60" s="243"/>
    </row>
    <row r="61" spans="1:9" s="249" customFormat="1" ht="36.75" customHeight="1">
      <c r="A61" s="258">
        <v>5</v>
      </c>
      <c r="B61" s="258">
        <v>2</v>
      </c>
      <c r="C61" s="258">
        <v>3</v>
      </c>
      <c r="D61" s="258">
        <v>10</v>
      </c>
      <c r="E61" s="246" t="s">
        <v>918</v>
      </c>
      <c r="F61" s="255" t="s">
        <v>910</v>
      </c>
      <c r="G61" s="255">
        <v>540500000</v>
      </c>
      <c r="H61" s="255" t="s">
        <v>8</v>
      </c>
      <c r="I61" s="255" t="s">
        <v>919</v>
      </c>
    </row>
    <row r="62" spans="1:9" s="270" customFormat="1" ht="33" customHeight="1">
      <c r="A62" s="258">
        <v>5</v>
      </c>
      <c r="B62" s="258">
        <v>2</v>
      </c>
      <c r="C62" s="258">
        <v>3</v>
      </c>
      <c r="D62" s="258">
        <v>11</v>
      </c>
      <c r="E62" s="269" t="s">
        <v>920</v>
      </c>
      <c r="F62" s="255" t="s">
        <v>910</v>
      </c>
      <c r="G62" s="255">
        <v>168000000</v>
      </c>
      <c r="H62" s="255" t="s">
        <v>8</v>
      </c>
      <c r="I62" s="255" t="s">
        <v>914</v>
      </c>
    </row>
    <row r="63" spans="1:9" s="249" customFormat="1" ht="36.75" customHeight="1">
      <c r="A63" s="258">
        <v>5</v>
      </c>
      <c r="B63" s="258">
        <v>2</v>
      </c>
      <c r="C63" s="258">
        <v>3</v>
      </c>
      <c r="D63" s="258">
        <v>14</v>
      </c>
      <c r="E63" s="246" t="s">
        <v>921</v>
      </c>
      <c r="F63" s="282" t="s">
        <v>910</v>
      </c>
      <c r="G63" s="283">
        <f>249348800-14000000</f>
        <v>235348800</v>
      </c>
      <c r="H63" s="282" t="s">
        <v>8</v>
      </c>
      <c r="I63" s="282" t="s">
        <v>914</v>
      </c>
    </row>
    <row r="64" spans="1:9" s="249" customFormat="1" ht="30" customHeight="1">
      <c r="A64" s="258">
        <v>5</v>
      </c>
      <c r="B64" s="258">
        <v>2</v>
      </c>
      <c r="C64" s="258">
        <v>3</v>
      </c>
      <c r="D64" s="258">
        <v>15</v>
      </c>
      <c r="E64" s="246" t="s">
        <v>144</v>
      </c>
      <c r="F64" s="282" t="s">
        <v>910</v>
      </c>
      <c r="G64" s="283">
        <v>30000000</v>
      </c>
      <c r="H64" s="282" t="s">
        <v>8</v>
      </c>
      <c r="I64" s="282" t="s">
        <v>400</v>
      </c>
    </row>
    <row r="65" spans="1:9" s="230" customFormat="1" ht="33.75" customHeight="1">
      <c r="A65" s="260">
        <v>5</v>
      </c>
      <c r="B65" s="260">
        <v>2</v>
      </c>
      <c r="C65" s="260">
        <v>4</v>
      </c>
      <c r="D65" s="260"/>
      <c r="E65" s="289" t="s">
        <v>146</v>
      </c>
      <c r="F65" s="243" t="s">
        <v>910</v>
      </c>
      <c r="G65" s="290">
        <f>SUM(G66:G66)</f>
        <v>70000000</v>
      </c>
      <c r="H65" s="243" t="s">
        <v>8</v>
      </c>
      <c r="I65" s="243"/>
    </row>
    <row r="66" spans="1:9" s="249" customFormat="1" ht="33.75" customHeight="1">
      <c r="A66" s="258">
        <v>5</v>
      </c>
      <c r="B66" s="258">
        <v>2</v>
      </c>
      <c r="C66" s="258">
        <v>4</v>
      </c>
      <c r="D66" s="258">
        <v>91</v>
      </c>
      <c r="E66" s="250" t="s">
        <v>317</v>
      </c>
      <c r="F66" s="252" t="s">
        <v>910</v>
      </c>
      <c r="G66" s="253">
        <v>70000000</v>
      </c>
      <c r="H66" s="252" t="s">
        <v>8</v>
      </c>
      <c r="I66" s="252" t="s">
        <v>914</v>
      </c>
    </row>
    <row r="67" spans="1:9" s="215" customFormat="1" ht="33.75" customHeight="1">
      <c r="A67" s="260">
        <v>5</v>
      </c>
      <c r="B67" s="260">
        <v>2</v>
      </c>
      <c r="C67" s="260">
        <v>6</v>
      </c>
      <c r="D67" s="260"/>
      <c r="E67" s="291" t="s">
        <v>154</v>
      </c>
      <c r="F67" s="292" t="s">
        <v>910</v>
      </c>
      <c r="G67" s="293">
        <f>SUM(G68)</f>
        <v>8050000</v>
      </c>
      <c r="H67" s="292" t="s">
        <v>8</v>
      </c>
      <c r="I67" s="292"/>
    </row>
    <row r="68" spans="1:9" s="249" customFormat="1" ht="36.75" customHeight="1">
      <c r="A68" s="258">
        <v>5</v>
      </c>
      <c r="B68" s="258">
        <v>2</v>
      </c>
      <c r="C68" s="258">
        <v>6</v>
      </c>
      <c r="D68" s="258">
        <v>2</v>
      </c>
      <c r="E68" s="246" t="s">
        <v>28</v>
      </c>
      <c r="F68" s="247" t="s">
        <v>910</v>
      </c>
      <c r="G68" s="248">
        <v>8050000</v>
      </c>
      <c r="H68" s="247" t="s">
        <v>8</v>
      </c>
      <c r="I68" s="247" t="s">
        <v>914</v>
      </c>
    </row>
    <row r="69" spans="1:9" s="230" customFormat="1" ht="24" customHeight="1">
      <c r="A69" s="260">
        <v>5</v>
      </c>
      <c r="B69" s="260">
        <v>2</v>
      </c>
      <c r="C69" s="260">
        <v>8</v>
      </c>
      <c r="D69" s="260"/>
      <c r="E69" s="289" t="s">
        <v>29</v>
      </c>
      <c r="F69" s="243" t="s">
        <v>910</v>
      </c>
      <c r="G69" s="290">
        <f>SUM(G70:G70)</f>
        <v>3000000</v>
      </c>
      <c r="H69" s="243" t="s">
        <v>8</v>
      </c>
      <c r="I69" s="243"/>
    </row>
    <row r="70" spans="1:9" s="230" customFormat="1" ht="24" customHeight="1">
      <c r="A70" s="258">
        <v>5</v>
      </c>
      <c r="B70" s="258">
        <v>2</v>
      </c>
      <c r="C70" s="258">
        <v>8</v>
      </c>
      <c r="D70" s="258">
        <v>93</v>
      </c>
      <c r="E70" s="294" t="s">
        <v>161</v>
      </c>
      <c r="F70" s="247" t="s">
        <v>910</v>
      </c>
      <c r="G70" s="248">
        <v>3000000</v>
      </c>
      <c r="H70" s="247" t="s">
        <v>8</v>
      </c>
      <c r="I70" s="247" t="s">
        <v>914</v>
      </c>
    </row>
    <row r="71" spans="1:9" s="230" customFormat="1" ht="24" customHeight="1">
      <c r="A71" s="295">
        <v>5</v>
      </c>
      <c r="B71" s="295">
        <v>3</v>
      </c>
      <c r="C71" s="295"/>
      <c r="D71" s="295"/>
      <c r="E71" s="234" t="s">
        <v>163</v>
      </c>
      <c r="F71" s="235"/>
      <c r="G71" s="236">
        <f>G72+G75+G81+G87</f>
        <v>72352440</v>
      </c>
      <c r="H71" s="235"/>
      <c r="I71" s="235"/>
    </row>
    <row r="72" spans="1:9" s="230" customFormat="1" ht="39" customHeight="1">
      <c r="A72" s="260">
        <v>5</v>
      </c>
      <c r="B72" s="260">
        <v>3</v>
      </c>
      <c r="C72" s="260">
        <v>1</v>
      </c>
      <c r="D72" s="260"/>
      <c r="E72" s="296" t="s">
        <v>164</v>
      </c>
      <c r="F72" s="292" t="s">
        <v>910</v>
      </c>
      <c r="G72" s="293">
        <f>SUM(G73:G74)</f>
        <v>6675000</v>
      </c>
      <c r="H72" s="292" t="s">
        <v>8</v>
      </c>
      <c r="I72" s="292"/>
    </row>
    <row r="73" spans="1:9" s="230" customFormat="1" ht="33.75" customHeight="1">
      <c r="A73" s="258">
        <v>5</v>
      </c>
      <c r="B73" s="258">
        <v>3</v>
      </c>
      <c r="C73" s="258">
        <v>1</v>
      </c>
      <c r="D73" s="258">
        <v>2</v>
      </c>
      <c r="E73" s="251" t="s">
        <v>166</v>
      </c>
      <c r="F73" s="252" t="s">
        <v>910</v>
      </c>
      <c r="G73" s="253">
        <v>3175000</v>
      </c>
      <c r="H73" s="252" t="s">
        <v>8</v>
      </c>
      <c r="I73" s="252" t="s">
        <v>31</v>
      </c>
    </row>
    <row r="74" spans="1:9" s="230" customFormat="1" ht="21.75" customHeight="1">
      <c r="A74" s="258">
        <v>5</v>
      </c>
      <c r="B74" s="258">
        <v>3</v>
      </c>
      <c r="C74" s="258">
        <v>1</v>
      </c>
      <c r="D74" s="297" t="s">
        <v>319</v>
      </c>
      <c r="E74" s="250" t="s">
        <v>320</v>
      </c>
      <c r="F74" s="252" t="s">
        <v>910</v>
      </c>
      <c r="G74" s="253">
        <v>3500000</v>
      </c>
      <c r="H74" s="252" t="s">
        <v>8</v>
      </c>
      <c r="I74" s="252" t="s">
        <v>31</v>
      </c>
    </row>
    <row r="75" spans="1:9" s="230" customFormat="1" ht="21.75" customHeight="1">
      <c r="A75" s="260">
        <v>5</v>
      </c>
      <c r="B75" s="260">
        <v>3</v>
      </c>
      <c r="C75" s="260">
        <v>2</v>
      </c>
      <c r="D75" s="260"/>
      <c r="E75" s="296" t="s">
        <v>176</v>
      </c>
      <c r="F75" s="292" t="s">
        <v>910</v>
      </c>
      <c r="G75" s="293">
        <f>SUM(G76:G80)</f>
        <v>24250000</v>
      </c>
      <c r="H75" s="292" t="s">
        <v>8</v>
      </c>
      <c r="I75" s="292"/>
    </row>
    <row r="76" spans="1:9" s="230" customFormat="1" ht="34.5" customHeight="1">
      <c r="A76" s="258">
        <v>5</v>
      </c>
      <c r="B76" s="258">
        <v>3</v>
      </c>
      <c r="C76" s="258">
        <v>2</v>
      </c>
      <c r="D76" s="258">
        <v>3</v>
      </c>
      <c r="E76" s="246" t="s">
        <v>178</v>
      </c>
      <c r="F76" s="282" t="s">
        <v>910</v>
      </c>
      <c r="G76" s="283">
        <v>9000000</v>
      </c>
      <c r="H76" s="282" t="s">
        <v>8</v>
      </c>
      <c r="I76" s="282" t="s">
        <v>321</v>
      </c>
    </row>
    <row r="77" spans="1:9" s="249" customFormat="1" ht="37.5" customHeight="1">
      <c r="A77" s="258">
        <v>5</v>
      </c>
      <c r="B77" s="258">
        <v>3</v>
      </c>
      <c r="C77" s="258">
        <v>2</v>
      </c>
      <c r="D77" s="258">
        <v>4</v>
      </c>
      <c r="E77" s="251" t="s">
        <v>322</v>
      </c>
      <c r="F77" s="252" t="s">
        <v>910</v>
      </c>
      <c r="G77" s="253">
        <v>2000000</v>
      </c>
      <c r="H77" s="252" t="s">
        <v>8</v>
      </c>
      <c r="I77" s="252" t="s">
        <v>31</v>
      </c>
    </row>
    <row r="78" spans="1:9" s="249" customFormat="1" ht="24.75" customHeight="1">
      <c r="A78" s="258">
        <v>5</v>
      </c>
      <c r="B78" s="258">
        <v>3</v>
      </c>
      <c r="C78" s="258">
        <v>2</v>
      </c>
      <c r="D78" s="258">
        <v>90</v>
      </c>
      <c r="E78" s="250" t="s">
        <v>59</v>
      </c>
      <c r="F78" s="252" t="s">
        <v>910</v>
      </c>
      <c r="G78" s="253">
        <v>6750000</v>
      </c>
      <c r="H78" s="252" t="s">
        <v>8</v>
      </c>
      <c r="I78" s="252" t="s">
        <v>31</v>
      </c>
    </row>
    <row r="79" spans="1:9" s="249" customFormat="1" ht="24.75" customHeight="1">
      <c r="A79" s="258">
        <v>5</v>
      </c>
      <c r="B79" s="258">
        <v>3</v>
      </c>
      <c r="C79" s="258">
        <v>2</v>
      </c>
      <c r="D79" s="258">
        <v>91</v>
      </c>
      <c r="E79" s="250" t="s">
        <v>58</v>
      </c>
      <c r="F79" s="252" t="s">
        <v>910</v>
      </c>
      <c r="G79" s="253">
        <v>4500000</v>
      </c>
      <c r="H79" s="252" t="s">
        <v>8</v>
      </c>
      <c r="I79" s="252" t="s">
        <v>31</v>
      </c>
    </row>
    <row r="80" spans="1:9" s="249" customFormat="1" ht="33" customHeight="1">
      <c r="A80" s="258">
        <v>5</v>
      </c>
      <c r="B80" s="258">
        <v>3</v>
      </c>
      <c r="C80" s="258">
        <v>2</v>
      </c>
      <c r="D80" s="258">
        <v>92</v>
      </c>
      <c r="E80" s="246" t="s">
        <v>926</v>
      </c>
      <c r="F80" s="252" t="s">
        <v>910</v>
      </c>
      <c r="G80" s="253">
        <v>2000000</v>
      </c>
      <c r="H80" s="252" t="s">
        <v>8</v>
      </c>
      <c r="I80" s="252" t="s">
        <v>31</v>
      </c>
    </row>
    <row r="81" spans="1:9" s="230" customFormat="1" ht="24.75" customHeight="1">
      <c r="A81" s="260">
        <v>5</v>
      </c>
      <c r="B81" s="260">
        <v>3</v>
      </c>
      <c r="C81" s="260">
        <v>3</v>
      </c>
      <c r="D81" s="260"/>
      <c r="E81" s="296" t="s">
        <v>182</v>
      </c>
      <c r="F81" s="292" t="s">
        <v>910</v>
      </c>
      <c r="G81" s="293">
        <f>SUM(G82:G86)</f>
        <v>27862240</v>
      </c>
      <c r="H81" s="292" t="s">
        <v>8</v>
      </c>
      <c r="I81" s="292"/>
    </row>
    <row r="82" spans="1:9" s="249" customFormat="1" ht="36.75" customHeight="1">
      <c r="A82" s="258">
        <v>5</v>
      </c>
      <c r="B82" s="258">
        <v>3</v>
      </c>
      <c r="C82" s="258">
        <v>3</v>
      </c>
      <c r="D82" s="258">
        <v>1</v>
      </c>
      <c r="E82" s="251" t="s">
        <v>183</v>
      </c>
      <c r="F82" s="252" t="s">
        <v>910</v>
      </c>
      <c r="G82" s="253">
        <v>2000000</v>
      </c>
      <c r="H82" s="252" t="s">
        <v>8</v>
      </c>
      <c r="I82" s="252" t="s">
        <v>31</v>
      </c>
    </row>
    <row r="83" spans="1:9" s="249" customFormat="1" ht="36" customHeight="1">
      <c r="A83" s="258">
        <v>5</v>
      </c>
      <c r="B83" s="258">
        <v>3</v>
      </c>
      <c r="C83" s="258">
        <v>3</v>
      </c>
      <c r="D83" s="258">
        <v>3</v>
      </c>
      <c r="E83" s="246" t="s">
        <v>185</v>
      </c>
      <c r="F83" s="252" t="s">
        <v>910</v>
      </c>
      <c r="G83" s="253">
        <v>16212240</v>
      </c>
      <c r="H83" s="252" t="s">
        <v>8</v>
      </c>
      <c r="I83" s="252" t="s">
        <v>927</v>
      </c>
    </row>
    <row r="84" spans="1:9" s="249" customFormat="1" ht="33.75" customHeight="1">
      <c r="A84" s="258">
        <v>5</v>
      </c>
      <c r="B84" s="258">
        <v>3</v>
      </c>
      <c r="C84" s="258">
        <v>3</v>
      </c>
      <c r="D84" s="258">
        <v>5</v>
      </c>
      <c r="E84" s="246" t="s">
        <v>187</v>
      </c>
      <c r="F84" s="255" t="s">
        <v>910</v>
      </c>
      <c r="G84" s="255">
        <v>2650000</v>
      </c>
      <c r="H84" s="255" t="s">
        <v>8</v>
      </c>
      <c r="I84" s="255" t="s">
        <v>9</v>
      </c>
    </row>
    <row r="85" spans="1:9" s="249" customFormat="1" ht="29.25" customHeight="1">
      <c r="A85" s="258">
        <v>5</v>
      </c>
      <c r="B85" s="258">
        <v>3</v>
      </c>
      <c r="C85" s="258">
        <v>3</v>
      </c>
      <c r="D85" s="258">
        <v>90</v>
      </c>
      <c r="E85" s="246" t="s">
        <v>189</v>
      </c>
      <c r="F85" s="247" t="s">
        <v>910</v>
      </c>
      <c r="G85" s="248">
        <v>2000000</v>
      </c>
      <c r="H85" s="247" t="s">
        <v>8</v>
      </c>
      <c r="I85" s="247" t="s">
        <v>31</v>
      </c>
    </row>
    <row r="86" spans="1:9" s="249" customFormat="1" ht="29.25" customHeight="1">
      <c r="A86" s="258">
        <v>5</v>
      </c>
      <c r="B86" s="258">
        <v>3</v>
      </c>
      <c r="C86" s="258">
        <v>3</v>
      </c>
      <c r="D86" s="258">
        <v>93</v>
      </c>
      <c r="E86" s="250" t="s">
        <v>45</v>
      </c>
      <c r="F86" s="255" t="s">
        <v>910</v>
      </c>
      <c r="G86" s="259">
        <v>5000000</v>
      </c>
      <c r="H86" s="255" t="s">
        <v>8</v>
      </c>
      <c r="I86" s="255" t="s">
        <v>9</v>
      </c>
    </row>
    <row r="87" spans="1:9" s="230" customFormat="1" ht="27" customHeight="1">
      <c r="A87" s="260">
        <v>5</v>
      </c>
      <c r="B87" s="260">
        <v>3</v>
      </c>
      <c r="C87" s="260">
        <v>4</v>
      </c>
      <c r="D87" s="260"/>
      <c r="E87" s="296" t="s">
        <v>193</v>
      </c>
      <c r="F87" s="292" t="s">
        <v>910</v>
      </c>
      <c r="G87" s="293">
        <f>SUM(G88:G90)</f>
        <v>13565200</v>
      </c>
      <c r="H87" s="292" t="s">
        <v>8</v>
      </c>
      <c r="I87" s="292"/>
    </row>
    <row r="88" spans="1:9" s="230" customFormat="1" ht="37.5" customHeight="1">
      <c r="A88" s="258">
        <v>5</v>
      </c>
      <c r="B88" s="258">
        <v>3</v>
      </c>
      <c r="C88" s="258">
        <v>4</v>
      </c>
      <c r="D88" s="258">
        <v>92</v>
      </c>
      <c r="E88" s="246" t="s">
        <v>194</v>
      </c>
      <c r="F88" s="255" t="s">
        <v>910</v>
      </c>
      <c r="G88" s="255">
        <v>3315200</v>
      </c>
      <c r="H88" s="255" t="s">
        <v>8</v>
      </c>
      <c r="I88" s="255" t="s">
        <v>31</v>
      </c>
    </row>
    <row r="89" spans="1:9" s="249" customFormat="1" ht="27" customHeight="1">
      <c r="A89" s="258">
        <v>5</v>
      </c>
      <c r="B89" s="258">
        <v>3</v>
      </c>
      <c r="C89" s="258">
        <v>4</v>
      </c>
      <c r="D89" s="258">
        <v>95</v>
      </c>
      <c r="E89" s="250" t="s">
        <v>44</v>
      </c>
      <c r="F89" s="255" t="s">
        <v>910</v>
      </c>
      <c r="G89" s="259">
        <v>5000000</v>
      </c>
      <c r="H89" s="255" t="s">
        <v>8</v>
      </c>
      <c r="I89" s="255" t="s">
        <v>46</v>
      </c>
    </row>
    <row r="90" spans="1:9" s="249" customFormat="1" ht="27" customHeight="1">
      <c r="A90" s="258">
        <v>5</v>
      </c>
      <c r="B90" s="258">
        <v>3</v>
      </c>
      <c r="C90" s="258">
        <v>4</v>
      </c>
      <c r="D90" s="258">
        <v>96</v>
      </c>
      <c r="E90" s="250" t="s">
        <v>43</v>
      </c>
      <c r="F90" s="255" t="s">
        <v>910</v>
      </c>
      <c r="G90" s="259">
        <v>5250000</v>
      </c>
      <c r="H90" s="255" t="s">
        <v>8</v>
      </c>
      <c r="I90" s="255" t="s">
        <v>46</v>
      </c>
    </row>
    <row r="91" spans="1:9" s="281" customFormat="1" ht="27" customHeight="1">
      <c r="A91" s="295">
        <v>5</v>
      </c>
      <c r="B91" s="295">
        <v>4</v>
      </c>
      <c r="C91" s="295"/>
      <c r="D91" s="295"/>
      <c r="E91" s="234" t="s">
        <v>198</v>
      </c>
      <c r="F91" s="235"/>
      <c r="G91" s="236">
        <f>G92+G96+G99+G107+G110</f>
        <v>139500000</v>
      </c>
      <c r="H91" s="235"/>
      <c r="I91" s="235"/>
    </row>
    <row r="92" spans="1:9" s="230" customFormat="1" ht="27" customHeight="1">
      <c r="A92" s="260">
        <v>5</v>
      </c>
      <c r="B92" s="260">
        <v>4</v>
      </c>
      <c r="C92" s="260">
        <v>2</v>
      </c>
      <c r="D92" s="260"/>
      <c r="E92" s="296" t="s">
        <v>200</v>
      </c>
      <c r="F92" s="292" t="s">
        <v>910</v>
      </c>
      <c r="G92" s="293">
        <f>SUM(G93:G95)</f>
        <v>41500000</v>
      </c>
      <c r="H92" s="292" t="s">
        <v>8</v>
      </c>
      <c r="I92" s="292"/>
    </row>
    <row r="93" spans="1:9" s="249" customFormat="1" ht="39" customHeight="1">
      <c r="A93" s="258">
        <v>5</v>
      </c>
      <c r="B93" s="258">
        <v>4</v>
      </c>
      <c r="C93" s="258">
        <v>2</v>
      </c>
      <c r="D93" s="258">
        <v>2</v>
      </c>
      <c r="E93" s="246" t="s">
        <v>323</v>
      </c>
      <c r="F93" s="252" t="s">
        <v>910</v>
      </c>
      <c r="G93" s="253">
        <v>30000000</v>
      </c>
      <c r="H93" s="252" t="s">
        <v>8</v>
      </c>
      <c r="I93" s="252" t="s">
        <v>914</v>
      </c>
    </row>
    <row r="94" spans="1:9" s="249" customFormat="1" ht="33.75" customHeight="1">
      <c r="A94" s="258">
        <v>5</v>
      </c>
      <c r="B94" s="258">
        <v>4</v>
      </c>
      <c r="C94" s="258">
        <v>2</v>
      </c>
      <c r="D94" s="258">
        <v>5</v>
      </c>
      <c r="E94" s="246" t="s">
        <v>324</v>
      </c>
      <c r="F94" s="252" t="s">
        <v>910</v>
      </c>
      <c r="G94" s="253">
        <v>6000000</v>
      </c>
      <c r="H94" s="252" t="s">
        <v>8</v>
      </c>
      <c r="I94" s="252" t="s">
        <v>914</v>
      </c>
    </row>
    <row r="95" spans="1:9" s="249" customFormat="1" ht="27" customHeight="1">
      <c r="A95" s="258">
        <v>5</v>
      </c>
      <c r="B95" s="258">
        <v>4</v>
      </c>
      <c r="C95" s="258">
        <v>2</v>
      </c>
      <c r="D95" s="258">
        <v>92</v>
      </c>
      <c r="E95" s="246" t="s">
        <v>203</v>
      </c>
      <c r="F95" s="252" t="s">
        <v>910</v>
      </c>
      <c r="G95" s="253">
        <v>5500000</v>
      </c>
      <c r="H95" s="252" t="s">
        <v>8</v>
      </c>
      <c r="I95" s="252" t="s">
        <v>914</v>
      </c>
    </row>
    <row r="96" spans="1:9" s="230" customFormat="1" ht="24.75" customHeight="1">
      <c r="A96" s="260">
        <v>5</v>
      </c>
      <c r="B96" s="260">
        <v>4</v>
      </c>
      <c r="C96" s="260">
        <v>3</v>
      </c>
      <c r="D96" s="260"/>
      <c r="E96" s="261" t="s">
        <v>206</v>
      </c>
      <c r="F96" s="302" t="s">
        <v>910</v>
      </c>
      <c r="G96" s="303">
        <f>SUM(G97:G98)</f>
        <v>17000000</v>
      </c>
      <c r="H96" s="302" t="s">
        <v>8</v>
      </c>
      <c r="I96" s="302"/>
    </row>
    <row r="97" spans="1:9" s="230" customFormat="1" ht="24.75" customHeight="1">
      <c r="A97" s="258">
        <v>5</v>
      </c>
      <c r="B97" s="258">
        <v>4</v>
      </c>
      <c r="C97" s="258">
        <v>3</v>
      </c>
      <c r="D97" s="258">
        <v>2</v>
      </c>
      <c r="E97" s="246" t="s">
        <v>207</v>
      </c>
      <c r="F97" s="252" t="s">
        <v>910</v>
      </c>
      <c r="G97" s="253">
        <v>12000000</v>
      </c>
      <c r="H97" s="252" t="s">
        <v>8</v>
      </c>
      <c r="I97" s="252" t="s">
        <v>914</v>
      </c>
    </row>
    <row r="98" spans="1:9" s="249" customFormat="1" ht="24.75" customHeight="1">
      <c r="A98" s="258">
        <v>5</v>
      </c>
      <c r="B98" s="258">
        <v>4</v>
      </c>
      <c r="C98" s="258">
        <v>3</v>
      </c>
      <c r="D98" s="258">
        <v>3</v>
      </c>
      <c r="E98" s="246" t="s">
        <v>208</v>
      </c>
      <c r="F98" s="252" t="s">
        <v>910</v>
      </c>
      <c r="G98" s="253">
        <v>5000000</v>
      </c>
      <c r="H98" s="252" t="s">
        <v>8</v>
      </c>
      <c r="I98" s="252" t="s">
        <v>914</v>
      </c>
    </row>
    <row r="99" spans="1:9" s="230" customFormat="1" ht="36.75" customHeight="1">
      <c r="A99" s="260">
        <v>5</v>
      </c>
      <c r="B99" s="260">
        <v>4</v>
      </c>
      <c r="C99" s="260">
        <v>4</v>
      </c>
      <c r="D99" s="260"/>
      <c r="E99" s="296" t="s">
        <v>210</v>
      </c>
      <c r="F99" s="292" t="s">
        <v>910</v>
      </c>
      <c r="G99" s="293">
        <f>SUM(G100:G106)</f>
        <v>44000000</v>
      </c>
      <c r="H99" s="292" t="s">
        <v>8</v>
      </c>
      <c r="I99" s="292"/>
    </row>
    <row r="100" spans="1:9" s="230" customFormat="1" ht="24" customHeight="1">
      <c r="A100" s="258">
        <v>5</v>
      </c>
      <c r="B100" s="258">
        <v>4</v>
      </c>
      <c r="C100" s="258">
        <v>4</v>
      </c>
      <c r="D100" s="258">
        <v>1</v>
      </c>
      <c r="E100" s="246" t="s">
        <v>325</v>
      </c>
      <c r="F100" s="252" t="s">
        <v>910</v>
      </c>
      <c r="G100" s="253">
        <v>7000000</v>
      </c>
      <c r="H100" s="252" t="s">
        <v>8</v>
      </c>
      <c r="I100" s="252" t="s">
        <v>914</v>
      </c>
    </row>
    <row r="101" spans="1:9" s="230" customFormat="1" ht="24" customHeight="1">
      <c r="A101" s="258">
        <v>5</v>
      </c>
      <c r="B101" s="258">
        <v>4</v>
      </c>
      <c r="C101" s="258">
        <v>4</v>
      </c>
      <c r="D101" s="258">
        <v>2</v>
      </c>
      <c r="E101" s="246" t="s">
        <v>326</v>
      </c>
      <c r="F101" s="252" t="s">
        <v>910</v>
      </c>
      <c r="G101" s="253">
        <v>7000000</v>
      </c>
      <c r="H101" s="252" t="s">
        <v>8</v>
      </c>
      <c r="I101" s="252" t="s">
        <v>914</v>
      </c>
    </row>
    <row r="102" spans="1:9" s="230" customFormat="1" ht="24" customHeight="1">
      <c r="A102" s="258">
        <v>5</v>
      </c>
      <c r="B102" s="258">
        <v>4</v>
      </c>
      <c r="C102" s="258">
        <v>4</v>
      </c>
      <c r="D102" s="258">
        <v>90</v>
      </c>
      <c r="E102" s="246" t="s">
        <v>327</v>
      </c>
      <c r="F102" s="252" t="s">
        <v>910</v>
      </c>
      <c r="G102" s="253">
        <v>4500000</v>
      </c>
      <c r="H102" s="252" t="s">
        <v>8</v>
      </c>
      <c r="I102" s="252" t="s">
        <v>914</v>
      </c>
    </row>
    <row r="103" spans="1:9" s="230" customFormat="1" ht="24" customHeight="1">
      <c r="A103" s="258">
        <v>5</v>
      </c>
      <c r="B103" s="258">
        <v>4</v>
      </c>
      <c r="C103" s="258">
        <v>4</v>
      </c>
      <c r="D103" s="258">
        <v>91</v>
      </c>
      <c r="E103" s="246" t="s">
        <v>213</v>
      </c>
      <c r="F103" s="252" t="s">
        <v>910</v>
      </c>
      <c r="G103" s="253">
        <v>6500000</v>
      </c>
      <c r="H103" s="252" t="s">
        <v>8</v>
      </c>
      <c r="I103" s="252" t="s">
        <v>914</v>
      </c>
    </row>
    <row r="104" spans="1:9" s="230" customFormat="1" ht="24" customHeight="1">
      <c r="A104" s="258">
        <v>5</v>
      </c>
      <c r="B104" s="258">
        <v>4</v>
      </c>
      <c r="C104" s="258">
        <v>4</v>
      </c>
      <c r="D104" s="258">
        <v>92</v>
      </c>
      <c r="E104" s="246" t="s">
        <v>214</v>
      </c>
      <c r="F104" s="252" t="s">
        <v>910</v>
      </c>
      <c r="G104" s="253">
        <v>5500000</v>
      </c>
      <c r="H104" s="252" t="s">
        <v>8</v>
      </c>
      <c r="I104" s="252" t="s">
        <v>914</v>
      </c>
    </row>
    <row r="105" spans="1:9" s="230" customFormat="1" ht="24" customHeight="1">
      <c r="A105" s="258">
        <v>5</v>
      </c>
      <c r="B105" s="258">
        <v>4</v>
      </c>
      <c r="C105" s="258">
        <v>4</v>
      </c>
      <c r="D105" s="258">
        <v>96</v>
      </c>
      <c r="E105" s="246" t="s">
        <v>216</v>
      </c>
      <c r="F105" s="252" t="s">
        <v>910</v>
      </c>
      <c r="G105" s="253">
        <v>6500000</v>
      </c>
      <c r="H105" s="252" t="s">
        <v>8</v>
      </c>
      <c r="I105" s="252" t="s">
        <v>914</v>
      </c>
    </row>
    <row r="106" spans="1:9" s="230" customFormat="1" ht="24" customHeight="1">
      <c r="A106" s="258">
        <v>5</v>
      </c>
      <c r="B106" s="258">
        <v>4</v>
      </c>
      <c r="C106" s="258">
        <v>4</v>
      </c>
      <c r="D106" s="258">
        <v>99</v>
      </c>
      <c r="E106" s="246" t="s">
        <v>328</v>
      </c>
      <c r="F106" s="252" t="s">
        <v>910</v>
      </c>
      <c r="G106" s="253">
        <v>7000000</v>
      </c>
      <c r="H106" s="252" t="s">
        <v>8</v>
      </c>
      <c r="I106" s="252" t="s">
        <v>914</v>
      </c>
    </row>
    <row r="107" spans="1:9" s="230" customFormat="1" ht="24" customHeight="1">
      <c r="A107" s="260">
        <v>5</v>
      </c>
      <c r="B107" s="260">
        <v>4</v>
      </c>
      <c r="C107" s="260">
        <v>6</v>
      </c>
      <c r="D107" s="260"/>
      <c r="E107" s="296" t="s">
        <v>217</v>
      </c>
      <c r="F107" s="292" t="s">
        <v>910</v>
      </c>
      <c r="G107" s="293">
        <f>SUM(G108:G109)</f>
        <v>27000000</v>
      </c>
      <c r="H107" s="292" t="s">
        <v>8</v>
      </c>
      <c r="I107" s="292"/>
    </row>
    <row r="108" spans="1:9" s="230" customFormat="1" ht="24" customHeight="1">
      <c r="A108" s="258">
        <v>5</v>
      </c>
      <c r="B108" s="258">
        <v>4</v>
      </c>
      <c r="C108" s="258">
        <v>6</v>
      </c>
      <c r="D108" s="258">
        <v>1</v>
      </c>
      <c r="E108" s="250" t="s">
        <v>329</v>
      </c>
      <c r="F108" s="247" t="s">
        <v>910</v>
      </c>
      <c r="G108" s="248">
        <v>7000000</v>
      </c>
      <c r="H108" s="247" t="s">
        <v>8</v>
      </c>
      <c r="I108" s="247" t="s">
        <v>914</v>
      </c>
    </row>
    <row r="109" spans="1:9" s="230" customFormat="1" ht="24" customHeight="1">
      <c r="A109" s="258">
        <v>5</v>
      </c>
      <c r="B109" s="258">
        <v>4</v>
      </c>
      <c r="C109" s="258">
        <v>6</v>
      </c>
      <c r="D109" s="258">
        <v>1</v>
      </c>
      <c r="E109" s="250" t="s">
        <v>330</v>
      </c>
      <c r="F109" s="247" t="s">
        <v>910</v>
      </c>
      <c r="G109" s="248">
        <v>20000000</v>
      </c>
      <c r="H109" s="247" t="s">
        <v>8</v>
      </c>
      <c r="I109" s="247" t="s">
        <v>914</v>
      </c>
    </row>
    <row r="110" spans="1:9" s="230" customFormat="1" ht="24" customHeight="1">
      <c r="A110" s="260">
        <v>5</v>
      </c>
      <c r="B110" s="260">
        <v>4</v>
      </c>
      <c r="C110" s="260">
        <v>7</v>
      </c>
      <c r="D110" s="260"/>
      <c r="E110" s="296" t="s">
        <v>331</v>
      </c>
      <c r="F110" s="292" t="s">
        <v>910</v>
      </c>
      <c r="G110" s="293">
        <f>SUM(G111:G111)</f>
        <v>10000000</v>
      </c>
      <c r="H110" s="292" t="s">
        <v>8</v>
      </c>
      <c r="I110" s="292"/>
    </row>
    <row r="111" spans="1:9" s="230" customFormat="1" ht="38.25" customHeight="1">
      <c r="A111" s="258">
        <v>5</v>
      </c>
      <c r="B111" s="258">
        <v>4</v>
      </c>
      <c r="C111" s="258">
        <v>7</v>
      </c>
      <c r="D111" s="258">
        <v>1</v>
      </c>
      <c r="E111" s="251" t="s">
        <v>332</v>
      </c>
      <c r="F111" s="247" t="s">
        <v>910</v>
      </c>
      <c r="G111" s="248">
        <v>10000000</v>
      </c>
      <c r="H111" s="247" t="s">
        <v>8</v>
      </c>
      <c r="I111" s="247" t="s">
        <v>914</v>
      </c>
    </row>
    <row r="112" spans="1:9" s="230" customFormat="1" ht="42" customHeight="1">
      <c r="A112" s="295">
        <v>5</v>
      </c>
      <c r="B112" s="295">
        <v>5</v>
      </c>
      <c r="C112" s="295"/>
      <c r="D112" s="295"/>
      <c r="E112" s="304" t="s">
        <v>219</v>
      </c>
      <c r="F112" s="305"/>
      <c r="G112" s="306">
        <f>G113+G115+G117</f>
        <v>223900000</v>
      </c>
      <c r="H112" s="305"/>
      <c r="I112" s="305"/>
    </row>
    <row r="113" spans="1:9" s="230" customFormat="1" ht="24" customHeight="1">
      <c r="A113" s="260">
        <v>5</v>
      </c>
      <c r="B113" s="260">
        <v>5</v>
      </c>
      <c r="C113" s="260">
        <v>1</v>
      </c>
      <c r="D113" s="260"/>
      <c r="E113" s="256" t="s">
        <v>220</v>
      </c>
      <c r="F113" s="243" t="s">
        <v>910</v>
      </c>
      <c r="G113" s="244">
        <f>SUM(G114)</f>
        <v>20000000</v>
      </c>
      <c r="H113" s="243" t="s">
        <v>8</v>
      </c>
      <c r="I113" s="243"/>
    </row>
    <row r="114" spans="1:9" s="230" customFormat="1" ht="24" customHeight="1">
      <c r="A114" s="258">
        <v>5</v>
      </c>
      <c r="B114" s="258">
        <v>5</v>
      </c>
      <c r="C114" s="258">
        <v>1</v>
      </c>
      <c r="D114" s="258">
        <v>1</v>
      </c>
      <c r="E114" s="250" t="s">
        <v>221</v>
      </c>
      <c r="F114" s="252" t="s">
        <v>910</v>
      </c>
      <c r="G114" s="253">
        <v>20000000</v>
      </c>
      <c r="H114" s="252" t="s">
        <v>8</v>
      </c>
      <c r="I114" s="252" t="s">
        <v>914</v>
      </c>
    </row>
    <row r="115" spans="1:9" s="230" customFormat="1" ht="24" customHeight="1">
      <c r="A115" s="260">
        <v>5</v>
      </c>
      <c r="B115" s="260">
        <v>5</v>
      </c>
      <c r="C115" s="260">
        <v>2</v>
      </c>
      <c r="D115" s="260"/>
      <c r="E115" s="256" t="s">
        <v>222</v>
      </c>
      <c r="F115" s="243" t="s">
        <v>910</v>
      </c>
      <c r="G115" s="244">
        <f>SUM(G116)</f>
        <v>5000000</v>
      </c>
      <c r="H115" s="243" t="s">
        <v>8</v>
      </c>
      <c r="I115" s="243"/>
    </row>
    <row r="116" spans="1:9" s="230" customFormat="1" ht="24" customHeight="1">
      <c r="A116" s="258">
        <v>5</v>
      </c>
      <c r="B116" s="258">
        <v>5</v>
      </c>
      <c r="C116" s="258">
        <v>2</v>
      </c>
      <c r="D116" s="258">
        <v>1</v>
      </c>
      <c r="E116" s="250" t="s">
        <v>223</v>
      </c>
      <c r="F116" s="307" t="s">
        <v>910</v>
      </c>
      <c r="G116" s="253">
        <v>5000000</v>
      </c>
      <c r="H116" s="252" t="s">
        <v>8</v>
      </c>
      <c r="I116" s="252" t="s">
        <v>914</v>
      </c>
    </row>
    <row r="117" spans="1:9" s="230" customFormat="1" ht="24" customHeight="1">
      <c r="A117" s="260">
        <v>5</v>
      </c>
      <c r="B117" s="260">
        <v>5</v>
      </c>
      <c r="C117" s="260">
        <v>3</v>
      </c>
      <c r="D117" s="260"/>
      <c r="E117" s="256" t="s">
        <v>224</v>
      </c>
      <c r="F117" s="243" t="s">
        <v>910</v>
      </c>
      <c r="G117" s="244">
        <f>SUM(G118)</f>
        <v>198900000</v>
      </c>
      <c r="H117" s="243" t="s">
        <v>8</v>
      </c>
      <c r="I117" s="243"/>
    </row>
    <row r="118" spans="1:9" s="230" customFormat="1" ht="24" customHeight="1">
      <c r="A118" s="258">
        <v>5</v>
      </c>
      <c r="B118" s="258">
        <v>5</v>
      </c>
      <c r="C118" s="258">
        <v>3</v>
      </c>
      <c r="D118" s="258">
        <v>1</v>
      </c>
      <c r="E118" s="250" t="s">
        <v>333</v>
      </c>
      <c r="F118" s="307" t="s">
        <v>910</v>
      </c>
      <c r="G118" s="253">
        <v>198900000</v>
      </c>
      <c r="H118" s="252" t="s">
        <v>8</v>
      </c>
      <c r="I118" s="252" t="s">
        <v>914</v>
      </c>
    </row>
    <row r="119" spans="1:9" s="215" customFormat="1" ht="24" customHeight="1">
      <c r="A119" s="714" t="s">
        <v>334</v>
      </c>
      <c r="B119" s="714"/>
      <c r="C119" s="714"/>
      <c r="D119" s="714"/>
      <c r="E119" s="714"/>
      <c r="F119" s="308"/>
      <c r="G119" s="308">
        <f>G10</f>
        <v>2784421520</v>
      </c>
      <c r="H119" s="308"/>
      <c r="I119" s="308"/>
    </row>
    <row r="120" spans="1:9" s="230" customFormat="1" ht="15.75">
      <c r="A120" s="309"/>
      <c r="B120" s="309"/>
      <c r="C120" s="309"/>
      <c r="D120" s="309"/>
      <c r="E120" s="310"/>
      <c r="F120" s="311"/>
      <c r="G120" s="310"/>
      <c r="H120" s="309"/>
      <c r="I120" s="309"/>
    </row>
    <row r="121" spans="1:9" s="230" customFormat="1" ht="15.75">
      <c r="A121" s="312"/>
      <c r="B121" s="312"/>
      <c r="C121" s="312" t="s">
        <v>335</v>
      </c>
      <c r="D121" s="312"/>
      <c r="E121" s="312"/>
      <c r="F121" s="313"/>
      <c r="G121" s="310"/>
      <c r="H121" s="309" t="s">
        <v>949</v>
      </c>
      <c r="I121" s="309"/>
    </row>
    <row r="122" spans="1:9" s="230" customFormat="1" ht="15.75">
      <c r="A122" s="312"/>
      <c r="B122" s="312"/>
      <c r="C122" s="312" t="s">
        <v>904</v>
      </c>
      <c r="D122" s="312"/>
      <c r="E122" s="312"/>
      <c r="F122" s="311"/>
      <c r="G122" s="310"/>
      <c r="H122" s="314" t="s">
        <v>336</v>
      </c>
      <c r="I122" s="309"/>
    </row>
    <row r="123" spans="1:9" s="230" customFormat="1" ht="15.75">
      <c r="A123" s="312"/>
      <c r="B123" s="312"/>
      <c r="C123" s="312"/>
      <c r="D123" s="312"/>
      <c r="E123" s="312"/>
      <c r="F123" s="311"/>
      <c r="G123" s="310"/>
      <c r="H123" s="309"/>
      <c r="I123" s="309"/>
    </row>
    <row r="124" spans="1:9" s="230" customFormat="1" ht="15.75">
      <c r="A124" s="312"/>
      <c r="B124" s="312"/>
      <c r="C124" s="312"/>
      <c r="D124" s="312"/>
      <c r="E124" s="312"/>
      <c r="F124" s="311"/>
      <c r="G124" s="310"/>
      <c r="H124" s="309"/>
      <c r="I124" s="309"/>
    </row>
    <row r="125" spans="1:9" s="230" customFormat="1" ht="15.75">
      <c r="A125" s="312"/>
      <c r="B125" s="312"/>
      <c r="C125" s="312"/>
      <c r="D125" s="312"/>
      <c r="E125" s="312"/>
      <c r="F125" s="311"/>
      <c r="G125" s="310"/>
      <c r="H125" s="309"/>
      <c r="I125" s="309"/>
    </row>
    <row r="126" spans="1:9" s="230" customFormat="1" ht="15.75">
      <c r="A126" s="312"/>
      <c r="B126" s="312"/>
      <c r="C126" s="312" t="s">
        <v>297</v>
      </c>
      <c r="D126" s="312"/>
      <c r="E126" s="312"/>
      <c r="F126" s="311"/>
      <c r="G126" s="310"/>
      <c r="H126" s="309" t="s">
        <v>35</v>
      </c>
      <c r="I126" s="309"/>
    </row>
  </sheetData>
  <mergeCells count="10">
    <mergeCell ref="A9:D9"/>
    <mergeCell ref="A119:E119"/>
    <mergeCell ref="A1:I1"/>
    <mergeCell ref="A2:I2"/>
    <mergeCell ref="A7:D8"/>
    <mergeCell ref="E7:E8"/>
    <mergeCell ref="F7:F8"/>
    <mergeCell ref="G7:G8"/>
    <mergeCell ref="H7:H8"/>
    <mergeCell ref="I7:I8"/>
  </mergeCells>
  <pageMargins left="0.70866141732283505" right="0.39" top="0.74803149606299202" bottom="0.74803149606299202" header="0.31496062992126" footer="0.31496062992126"/>
  <pageSetup paperSize="300" scale="46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topLeftCell="A55" zoomScale="110" zoomScaleNormal="80" zoomScaleSheetLayoutView="110" workbookViewId="0">
      <selection activeCell="E72" sqref="E72"/>
    </sheetView>
  </sheetViews>
  <sheetFormatPr defaultColWidth="8.85546875" defaultRowHeight="15.75"/>
  <cols>
    <col min="1" max="3" width="4.7109375" style="366" customWidth="1"/>
    <col min="4" max="4" width="10.42578125" style="366" customWidth="1"/>
    <col min="5" max="5" width="94.85546875" style="365" customWidth="1"/>
    <col min="6" max="6" width="24.42578125" style="367" customWidth="1"/>
    <col min="7" max="9" width="8.85546875" style="365"/>
    <col min="10" max="10" width="13.7109375" style="365" bestFit="1" customWidth="1"/>
    <col min="11" max="256" width="8.85546875" style="365"/>
    <col min="257" max="259" width="4.7109375" style="365" customWidth="1"/>
    <col min="260" max="260" width="10.42578125" style="365" customWidth="1"/>
    <col min="261" max="261" width="94.85546875" style="365" customWidth="1"/>
    <col min="262" max="262" width="24.42578125" style="365" customWidth="1"/>
    <col min="263" max="265" width="8.85546875" style="365"/>
    <col min="266" max="266" width="13.7109375" style="365" bestFit="1" customWidth="1"/>
    <col min="267" max="512" width="8.85546875" style="365"/>
    <col min="513" max="515" width="4.7109375" style="365" customWidth="1"/>
    <col min="516" max="516" width="10.42578125" style="365" customWidth="1"/>
    <col min="517" max="517" width="94.85546875" style="365" customWidth="1"/>
    <col min="518" max="518" width="24.42578125" style="365" customWidth="1"/>
    <col min="519" max="521" width="8.85546875" style="365"/>
    <col min="522" max="522" width="13.7109375" style="365" bestFit="1" customWidth="1"/>
    <col min="523" max="768" width="8.85546875" style="365"/>
    <col min="769" max="771" width="4.7109375" style="365" customWidth="1"/>
    <col min="772" max="772" width="10.42578125" style="365" customWidth="1"/>
    <col min="773" max="773" width="94.85546875" style="365" customWidth="1"/>
    <col min="774" max="774" width="24.42578125" style="365" customWidth="1"/>
    <col min="775" max="777" width="8.85546875" style="365"/>
    <col min="778" max="778" width="13.7109375" style="365" bestFit="1" customWidth="1"/>
    <col min="779" max="1024" width="8.85546875" style="365"/>
    <col min="1025" max="1027" width="4.7109375" style="365" customWidth="1"/>
    <col min="1028" max="1028" width="10.42578125" style="365" customWidth="1"/>
    <col min="1029" max="1029" width="94.85546875" style="365" customWidth="1"/>
    <col min="1030" max="1030" width="24.42578125" style="365" customWidth="1"/>
    <col min="1031" max="1033" width="8.85546875" style="365"/>
    <col min="1034" max="1034" width="13.7109375" style="365" bestFit="1" customWidth="1"/>
    <col min="1035" max="1280" width="8.85546875" style="365"/>
    <col min="1281" max="1283" width="4.7109375" style="365" customWidth="1"/>
    <col min="1284" max="1284" width="10.42578125" style="365" customWidth="1"/>
    <col min="1285" max="1285" width="94.85546875" style="365" customWidth="1"/>
    <col min="1286" max="1286" width="24.42578125" style="365" customWidth="1"/>
    <col min="1287" max="1289" width="8.85546875" style="365"/>
    <col min="1290" max="1290" width="13.7109375" style="365" bestFit="1" customWidth="1"/>
    <col min="1291" max="1536" width="8.85546875" style="365"/>
    <col min="1537" max="1539" width="4.7109375" style="365" customWidth="1"/>
    <col min="1540" max="1540" width="10.42578125" style="365" customWidth="1"/>
    <col min="1541" max="1541" width="94.85546875" style="365" customWidth="1"/>
    <col min="1542" max="1542" width="24.42578125" style="365" customWidth="1"/>
    <col min="1543" max="1545" width="8.85546875" style="365"/>
    <col min="1546" max="1546" width="13.7109375" style="365" bestFit="1" customWidth="1"/>
    <col min="1547" max="1792" width="8.85546875" style="365"/>
    <col min="1793" max="1795" width="4.7109375" style="365" customWidth="1"/>
    <col min="1796" max="1796" width="10.42578125" style="365" customWidth="1"/>
    <col min="1797" max="1797" width="94.85546875" style="365" customWidth="1"/>
    <col min="1798" max="1798" width="24.42578125" style="365" customWidth="1"/>
    <col min="1799" max="1801" width="8.85546875" style="365"/>
    <col min="1802" max="1802" width="13.7109375" style="365" bestFit="1" customWidth="1"/>
    <col min="1803" max="2048" width="8.85546875" style="365"/>
    <col min="2049" max="2051" width="4.7109375" style="365" customWidth="1"/>
    <col min="2052" max="2052" width="10.42578125" style="365" customWidth="1"/>
    <col min="2053" max="2053" width="94.85546875" style="365" customWidth="1"/>
    <col min="2054" max="2054" width="24.42578125" style="365" customWidth="1"/>
    <col min="2055" max="2057" width="8.85546875" style="365"/>
    <col min="2058" max="2058" width="13.7109375" style="365" bestFit="1" customWidth="1"/>
    <col min="2059" max="2304" width="8.85546875" style="365"/>
    <col min="2305" max="2307" width="4.7109375" style="365" customWidth="1"/>
    <col min="2308" max="2308" width="10.42578125" style="365" customWidth="1"/>
    <col min="2309" max="2309" width="94.85546875" style="365" customWidth="1"/>
    <col min="2310" max="2310" width="24.42578125" style="365" customWidth="1"/>
    <col min="2311" max="2313" width="8.85546875" style="365"/>
    <col min="2314" max="2314" width="13.7109375" style="365" bestFit="1" customWidth="1"/>
    <col min="2315" max="2560" width="8.85546875" style="365"/>
    <col min="2561" max="2563" width="4.7109375" style="365" customWidth="1"/>
    <col min="2564" max="2564" width="10.42578125" style="365" customWidth="1"/>
    <col min="2565" max="2565" width="94.85546875" style="365" customWidth="1"/>
    <col min="2566" max="2566" width="24.42578125" style="365" customWidth="1"/>
    <col min="2567" max="2569" width="8.85546875" style="365"/>
    <col min="2570" max="2570" width="13.7109375" style="365" bestFit="1" customWidth="1"/>
    <col min="2571" max="2816" width="8.85546875" style="365"/>
    <col min="2817" max="2819" width="4.7109375" style="365" customWidth="1"/>
    <col min="2820" max="2820" width="10.42578125" style="365" customWidth="1"/>
    <col min="2821" max="2821" width="94.85546875" style="365" customWidth="1"/>
    <col min="2822" max="2822" width="24.42578125" style="365" customWidth="1"/>
    <col min="2823" max="2825" width="8.85546875" style="365"/>
    <col min="2826" max="2826" width="13.7109375" style="365" bestFit="1" customWidth="1"/>
    <col min="2827" max="3072" width="8.85546875" style="365"/>
    <col min="3073" max="3075" width="4.7109375" style="365" customWidth="1"/>
    <col min="3076" max="3076" width="10.42578125" style="365" customWidth="1"/>
    <col min="3077" max="3077" width="94.85546875" style="365" customWidth="1"/>
    <col min="3078" max="3078" width="24.42578125" style="365" customWidth="1"/>
    <col min="3079" max="3081" width="8.85546875" style="365"/>
    <col min="3082" max="3082" width="13.7109375" style="365" bestFit="1" customWidth="1"/>
    <col min="3083" max="3328" width="8.85546875" style="365"/>
    <col min="3329" max="3331" width="4.7109375" style="365" customWidth="1"/>
    <col min="3332" max="3332" width="10.42578125" style="365" customWidth="1"/>
    <col min="3333" max="3333" width="94.85546875" style="365" customWidth="1"/>
    <col min="3334" max="3334" width="24.42578125" style="365" customWidth="1"/>
    <col min="3335" max="3337" width="8.85546875" style="365"/>
    <col min="3338" max="3338" width="13.7109375" style="365" bestFit="1" customWidth="1"/>
    <col min="3339" max="3584" width="8.85546875" style="365"/>
    <col min="3585" max="3587" width="4.7109375" style="365" customWidth="1"/>
    <col min="3588" max="3588" width="10.42578125" style="365" customWidth="1"/>
    <col min="3589" max="3589" width="94.85546875" style="365" customWidth="1"/>
    <col min="3590" max="3590" width="24.42578125" style="365" customWidth="1"/>
    <col min="3591" max="3593" width="8.85546875" style="365"/>
    <col min="3594" max="3594" width="13.7109375" style="365" bestFit="1" customWidth="1"/>
    <col min="3595" max="3840" width="8.85546875" style="365"/>
    <col min="3841" max="3843" width="4.7109375" style="365" customWidth="1"/>
    <col min="3844" max="3844" width="10.42578125" style="365" customWidth="1"/>
    <col min="3845" max="3845" width="94.85546875" style="365" customWidth="1"/>
    <col min="3846" max="3846" width="24.42578125" style="365" customWidth="1"/>
    <col min="3847" max="3849" width="8.85546875" style="365"/>
    <col min="3850" max="3850" width="13.7109375" style="365" bestFit="1" customWidth="1"/>
    <col min="3851" max="4096" width="8.85546875" style="365"/>
    <col min="4097" max="4099" width="4.7109375" style="365" customWidth="1"/>
    <col min="4100" max="4100" width="10.42578125" style="365" customWidth="1"/>
    <col min="4101" max="4101" width="94.85546875" style="365" customWidth="1"/>
    <col min="4102" max="4102" width="24.42578125" style="365" customWidth="1"/>
    <col min="4103" max="4105" width="8.85546875" style="365"/>
    <col min="4106" max="4106" width="13.7109375" style="365" bestFit="1" customWidth="1"/>
    <col min="4107" max="4352" width="8.85546875" style="365"/>
    <col min="4353" max="4355" width="4.7109375" style="365" customWidth="1"/>
    <col min="4356" max="4356" width="10.42578125" style="365" customWidth="1"/>
    <col min="4357" max="4357" width="94.85546875" style="365" customWidth="1"/>
    <col min="4358" max="4358" width="24.42578125" style="365" customWidth="1"/>
    <col min="4359" max="4361" width="8.85546875" style="365"/>
    <col min="4362" max="4362" width="13.7109375" style="365" bestFit="1" customWidth="1"/>
    <col min="4363" max="4608" width="8.85546875" style="365"/>
    <col min="4609" max="4611" width="4.7109375" style="365" customWidth="1"/>
    <col min="4612" max="4612" width="10.42578125" style="365" customWidth="1"/>
    <col min="4613" max="4613" width="94.85546875" style="365" customWidth="1"/>
    <col min="4614" max="4614" width="24.42578125" style="365" customWidth="1"/>
    <col min="4615" max="4617" width="8.85546875" style="365"/>
    <col min="4618" max="4618" width="13.7109375" style="365" bestFit="1" customWidth="1"/>
    <col min="4619" max="4864" width="8.85546875" style="365"/>
    <col min="4865" max="4867" width="4.7109375" style="365" customWidth="1"/>
    <col min="4868" max="4868" width="10.42578125" style="365" customWidth="1"/>
    <col min="4869" max="4869" width="94.85546875" style="365" customWidth="1"/>
    <col min="4870" max="4870" width="24.42578125" style="365" customWidth="1"/>
    <col min="4871" max="4873" width="8.85546875" style="365"/>
    <col min="4874" max="4874" width="13.7109375" style="365" bestFit="1" customWidth="1"/>
    <col min="4875" max="5120" width="8.85546875" style="365"/>
    <col min="5121" max="5123" width="4.7109375" style="365" customWidth="1"/>
    <col min="5124" max="5124" width="10.42578125" style="365" customWidth="1"/>
    <col min="5125" max="5125" width="94.85546875" style="365" customWidth="1"/>
    <col min="5126" max="5126" width="24.42578125" style="365" customWidth="1"/>
    <col min="5127" max="5129" width="8.85546875" style="365"/>
    <col min="5130" max="5130" width="13.7109375" style="365" bestFit="1" customWidth="1"/>
    <col min="5131" max="5376" width="8.85546875" style="365"/>
    <col min="5377" max="5379" width="4.7109375" style="365" customWidth="1"/>
    <col min="5380" max="5380" width="10.42578125" style="365" customWidth="1"/>
    <col min="5381" max="5381" width="94.85546875" style="365" customWidth="1"/>
    <col min="5382" max="5382" width="24.42578125" style="365" customWidth="1"/>
    <col min="5383" max="5385" width="8.85546875" style="365"/>
    <col min="5386" max="5386" width="13.7109375" style="365" bestFit="1" customWidth="1"/>
    <col min="5387" max="5632" width="8.85546875" style="365"/>
    <col min="5633" max="5635" width="4.7109375" style="365" customWidth="1"/>
    <col min="5636" max="5636" width="10.42578125" style="365" customWidth="1"/>
    <col min="5637" max="5637" width="94.85546875" style="365" customWidth="1"/>
    <col min="5638" max="5638" width="24.42578125" style="365" customWidth="1"/>
    <col min="5639" max="5641" width="8.85546875" style="365"/>
    <col min="5642" max="5642" width="13.7109375" style="365" bestFit="1" customWidth="1"/>
    <col min="5643" max="5888" width="8.85546875" style="365"/>
    <col min="5889" max="5891" width="4.7109375" style="365" customWidth="1"/>
    <col min="5892" max="5892" width="10.42578125" style="365" customWidth="1"/>
    <col min="5893" max="5893" width="94.85546875" style="365" customWidth="1"/>
    <col min="5894" max="5894" width="24.42578125" style="365" customWidth="1"/>
    <col min="5895" max="5897" width="8.85546875" style="365"/>
    <col min="5898" max="5898" width="13.7109375" style="365" bestFit="1" customWidth="1"/>
    <col min="5899" max="6144" width="8.85546875" style="365"/>
    <col min="6145" max="6147" width="4.7109375" style="365" customWidth="1"/>
    <col min="6148" max="6148" width="10.42578125" style="365" customWidth="1"/>
    <col min="6149" max="6149" width="94.85546875" style="365" customWidth="1"/>
    <col min="6150" max="6150" width="24.42578125" style="365" customWidth="1"/>
    <col min="6151" max="6153" width="8.85546875" style="365"/>
    <col min="6154" max="6154" width="13.7109375" style="365" bestFit="1" customWidth="1"/>
    <col min="6155" max="6400" width="8.85546875" style="365"/>
    <col min="6401" max="6403" width="4.7109375" style="365" customWidth="1"/>
    <col min="6404" max="6404" width="10.42578125" style="365" customWidth="1"/>
    <col min="6405" max="6405" width="94.85546875" style="365" customWidth="1"/>
    <col min="6406" max="6406" width="24.42578125" style="365" customWidth="1"/>
    <col min="6407" max="6409" width="8.85546875" style="365"/>
    <col min="6410" max="6410" width="13.7109375" style="365" bestFit="1" customWidth="1"/>
    <col min="6411" max="6656" width="8.85546875" style="365"/>
    <col min="6657" max="6659" width="4.7109375" style="365" customWidth="1"/>
    <col min="6660" max="6660" width="10.42578125" style="365" customWidth="1"/>
    <col min="6661" max="6661" width="94.85546875" style="365" customWidth="1"/>
    <col min="6662" max="6662" width="24.42578125" style="365" customWidth="1"/>
    <col min="6663" max="6665" width="8.85546875" style="365"/>
    <col min="6666" max="6666" width="13.7109375" style="365" bestFit="1" customWidth="1"/>
    <col min="6667" max="6912" width="8.85546875" style="365"/>
    <col min="6913" max="6915" width="4.7109375" style="365" customWidth="1"/>
    <col min="6916" max="6916" width="10.42578125" style="365" customWidth="1"/>
    <col min="6917" max="6917" width="94.85546875" style="365" customWidth="1"/>
    <col min="6918" max="6918" width="24.42578125" style="365" customWidth="1"/>
    <col min="6919" max="6921" width="8.85546875" style="365"/>
    <col min="6922" max="6922" width="13.7109375" style="365" bestFit="1" customWidth="1"/>
    <col min="6923" max="7168" width="8.85546875" style="365"/>
    <col min="7169" max="7171" width="4.7109375" style="365" customWidth="1"/>
    <col min="7172" max="7172" width="10.42578125" style="365" customWidth="1"/>
    <col min="7173" max="7173" width="94.85546875" style="365" customWidth="1"/>
    <col min="7174" max="7174" width="24.42578125" style="365" customWidth="1"/>
    <col min="7175" max="7177" width="8.85546875" style="365"/>
    <col min="7178" max="7178" width="13.7109375" style="365" bestFit="1" customWidth="1"/>
    <col min="7179" max="7424" width="8.85546875" style="365"/>
    <col min="7425" max="7427" width="4.7109375" style="365" customWidth="1"/>
    <col min="7428" max="7428" width="10.42578125" style="365" customWidth="1"/>
    <col min="7429" max="7429" width="94.85546875" style="365" customWidth="1"/>
    <col min="7430" max="7430" width="24.42578125" style="365" customWidth="1"/>
    <col min="7431" max="7433" width="8.85546875" style="365"/>
    <col min="7434" max="7434" width="13.7109375" style="365" bestFit="1" customWidth="1"/>
    <col min="7435" max="7680" width="8.85546875" style="365"/>
    <col min="7681" max="7683" width="4.7109375" style="365" customWidth="1"/>
    <col min="7684" max="7684" width="10.42578125" style="365" customWidth="1"/>
    <col min="7685" max="7685" width="94.85546875" style="365" customWidth="1"/>
    <col min="7686" max="7686" width="24.42578125" style="365" customWidth="1"/>
    <col min="7687" max="7689" width="8.85546875" style="365"/>
    <col min="7690" max="7690" width="13.7109375" style="365" bestFit="1" customWidth="1"/>
    <col min="7691" max="7936" width="8.85546875" style="365"/>
    <col min="7937" max="7939" width="4.7109375" style="365" customWidth="1"/>
    <col min="7940" max="7940" width="10.42578125" style="365" customWidth="1"/>
    <col min="7941" max="7941" width="94.85546875" style="365" customWidth="1"/>
    <col min="7942" max="7942" width="24.42578125" style="365" customWidth="1"/>
    <col min="7943" max="7945" width="8.85546875" style="365"/>
    <col min="7946" max="7946" width="13.7109375" style="365" bestFit="1" customWidth="1"/>
    <col min="7947" max="8192" width="8.85546875" style="365"/>
    <col min="8193" max="8195" width="4.7109375" style="365" customWidth="1"/>
    <col min="8196" max="8196" width="10.42578125" style="365" customWidth="1"/>
    <col min="8197" max="8197" width="94.85546875" style="365" customWidth="1"/>
    <col min="8198" max="8198" width="24.42578125" style="365" customWidth="1"/>
    <col min="8199" max="8201" width="8.85546875" style="365"/>
    <col min="8202" max="8202" width="13.7109375" style="365" bestFit="1" customWidth="1"/>
    <col min="8203" max="8448" width="8.85546875" style="365"/>
    <col min="8449" max="8451" width="4.7109375" style="365" customWidth="1"/>
    <col min="8452" max="8452" width="10.42578125" style="365" customWidth="1"/>
    <col min="8453" max="8453" width="94.85546875" style="365" customWidth="1"/>
    <col min="8454" max="8454" width="24.42578125" style="365" customWidth="1"/>
    <col min="8455" max="8457" width="8.85546875" style="365"/>
    <col min="8458" max="8458" width="13.7109375" style="365" bestFit="1" customWidth="1"/>
    <col min="8459" max="8704" width="8.85546875" style="365"/>
    <col min="8705" max="8707" width="4.7109375" style="365" customWidth="1"/>
    <col min="8708" max="8708" width="10.42578125" style="365" customWidth="1"/>
    <col min="8709" max="8709" width="94.85546875" style="365" customWidth="1"/>
    <col min="8710" max="8710" width="24.42578125" style="365" customWidth="1"/>
    <col min="8711" max="8713" width="8.85546875" style="365"/>
    <col min="8714" max="8714" width="13.7109375" style="365" bestFit="1" customWidth="1"/>
    <col min="8715" max="8960" width="8.85546875" style="365"/>
    <col min="8961" max="8963" width="4.7109375" style="365" customWidth="1"/>
    <col min="8964" max="8964" width="10.42578125" style="365" customWidth="1"/>
    <col min="8965" max="8965" width="94.85546875" style="365" customWidth="1"/>
    <col min="8966" max="8966" width="24.42578125" style="365" customWidth="1"/>
    <col min="8967" max="8969" width="8.85546875" style="365"/>
    <col min="8970" max="8970" width="13.7109375" style="365" bestFit="1" customWidth="1"/>
    <col min="8971" max="9216" width="8.85546875" style="365"/>
    <col min="9217" max="9219" width="4.7109375" style="365" customWidth="1"/>
    <col min="9220" max="9220" width="10.42578125" style="365" customWidth="1"/>
    <col min="9221" max="9221" width="94.85546875" style="365" customWidth="1"/>
    <col min="9222" max="9222" width="24.42578125" style="365" customWidth="1"/>
    <col min="9223" max="9225" width="8.85546875" style="365"/>
    <col min="9226" max="9226" width="13.7109375" style="365" bestFit="1" customWidth="1"/>
    <col min="9227" max="9472" width="8.85546875" style="365"/>
    <col min="9473" max="9475" width="4.7109375" style="365" customWidth="1"/>
    <col min="9476" max="9476" width="10.42578125" style="365" customWidth="1"/>
    <col min="9477" max="9477" width="94.85546875" style="365" customWidth="1"/>
    <col min="9478" max="9478" width="24.42578125" style="365" customWidth="1"/>
    <col min="9479" max="9481" width="8.85546875" style="365"/>
    <col min="9482" max="9482" width="13.7109375" style="365" bestFit="1" customWidth="1"/>
    <col min="9483" max="9728" width="8.85546875" style="365"/>
    <col min="9729" max="9731" width="4.7109375" style="365" customWidth="1"/>
    <col min="9732" max="9732" width="10.42578125" style="365" customWidth="1"/>
    <col min="9733" max="9733" width="94.85546875" style="365" customWidth="1"/>
    <col min="9734" max="9734" width="24.42578125" style="365" customWidth="1"/>
    <col min="9735" max="9737" width="8.85546875" style="365"/>
    <col min="9738" max="9738" width="13.7109375" style="365" bestFit="1" customWidth="1"/>
    <col min="9739" max="9984" width="8.85546875" style="365"/>
    <col min="9985" max="9987" width="4.7109375" style="365" customWidth="1"/>
    <col min="9988" max="9988" width="10.42578125" style="365" customWidth="1"/>
    <col min="9989" max="9989" width="94.85546875" style="365" customWidth="1"/>
    <col min="9990" max="9990" width="24.42578125" style="365" customWidth="1"/>
    <col min="9991" max="9993" width="8.85546875" style="365"/>
    <col min="9994" max="9994" width="13.7109375" style="365" bestFit="1" customWidth="1"/>
    <col min="9995" max="10240" width="8.85546875" style="365"/>
    <col min="10241" max="10243" width="4.7109375" style="365" customWidth="1"/>
    <col min="10244" max="10244" width="10.42578125" style="365" customWidth="1"/>
    <col min="10245" max="10245" width="94.85546875" style="365" customWidth="1"/>
    <col min="10246" max="10246" width="24.42578125" style="365" customWidth="1"/>
    <col min="10247" max="10249" width="8.85546875" style="365"/>
    <col min="10250" max="10250" width="13.7109375" style="365" bestFit="1" customWidth="1"/>
    <col min="10251" max="10496" width="8.85546875" style="365"/>
    <col min="10497" max="10499" width="4.7109375" style="365" customWidth="1"/>
    <col min="10500" max="10500" width="10.42578125" style="365" customWidth="1"/>
    <col min="10501" max="10501" width="94.85546875" style="365" customWidth="1"/>
    <col min="10502" max="10502" width="24.42578125" style="365" customWidth="1"/>
    <col min="10503" max="10505" width="8.85546875" style="365"/>
    <col min="10506" max="10506" width="13.7109375" style="365" bestFit="1" customWidth="1"/>
    <col min="10507" max="10752" width="8.85546875" style="365"/>
    <col min="10753" max="10755" width="4.7109375" style="365" customWidth="1"/>
    <col min="10756" max="10756" width="10.42578125" style="365" customWidth="1"/>
    <col min="10757" max="10757" width="94.85546875" style="365" customWidth="1"/>
    <col min="10758" max="10758" width="24.42578125" style="365" customWidth="1"/>
    <col min="10759" max="10761" width="8.85546875" style="365"/>
    <col min="10762" max="10762" width="13.7109375" style="365" bestFit="1" customWidth="1"/>
    <col min="10763" max="11008" width="8.85546875" style="365"/>
    <col min="11009" max="11011" width="4.7109375" style="365" customWidth="1"/>
    <col min="11012" max="11012" width="10.42578125" style="365" customWidth="1"/>
    <col min="11013" max="11013" width="94.85546875" style="365" customWidth="1"/>
    <col min="11014" max="11014" width="24.42578125" style="365" customWidth="1"/>
    <col min="11015" max="11017" width="8.85546875" style="365"/>
    <col min="11018" max="11018" width="13.7109375" style="365" bestFit="1" customWidth="1"/>
    <col min="11019" max="11264" width="8.85546875" style="365"/>
    <col min="11265" max="11267" width="4.7109375" style="365" customWidth="1"/>
    <col min="11268" max="11268" width="10.42578125" style="365" customWidth="1"/>
    <col min="11269" max="11269" width="94.85546875" style="365" customWidth="1"/>
    <col min="11270" max="11270" width="24.42578125" style="365" customWidth="1"/>
    <col min="11271" max="11273" width="8.85546875" style="365"/>
    <col min="11274" max="11274" width="13.7109375" style="365" bestFit="1" customWidth="1"/>
    <col min="11275" max="11520" width="8.85546875" style="365"/>
    <col min="11521" max="11523" width="4.7109375" style="365" customWidth="1"/>
    <col min="11524" max="11524" width="10.42578125" style="365" customWidth="1"/>
    <col min="11525" max="11525" width="94.85546875" style="365" customWidth="1"/>
    <col min="11526" max="11526" width="24.42578125" style="365" customWidth="1"/>
    <col min="11527" max="11529" width="8.85546875" style="365"/>
    <col min="11530" max="11530" width="13.7109375" style="365" bestFit="1" customWidth="1"/>
    <col min="11531" max="11776" width="8.85546875" style="365"/>
    <col min="11777" max="11779" width="4.7109375" style="365" customWidth="1"/>
    <col min="11780" max="11780" width="10.42578125" style="365" customWidth="1"/>
    <col min="11781" max="11781" width="94.85546875" style="365" customWidth="1"/>
    <col min="11782" max="11782" width="24.42578125" style="365" customWidth="1"/>
    <col min="11783" max="11785" width="8.85546875" style="365"/>
    <col min="11786" max="11786" width="13.7109375" style="365" bestFit="1" customWidth="1"/>
    <col min="11787" max="12032" width="8.85546875" style="365"/>
    <col min="12033" max="12035" width="4.7109375" style="365" customWidth="1"/>
    <col min="12036" max="12036" width="10.42578125" style="365" customWidth="1"/>
    <col min="12037" max="12037" width="94.85546875" style="365" customWidth="1"/>
    <col min="12038" max="12038" width="24.42578125" style="365" customWidth="1"/>
    <col min="12039" max="12041" width="8.85546875" style="365"/>
    <col min="12042" max="12042" width="13.7109375" style="365" bestFit="1" customWidth="1"/>
    <col min="12043" max="12288" width="8.85546875" style="365"/>
    <col min="12289" max="12291" width="4.7109375" style="365" customWidth="1"/>
    <col min="12292" max="12292" width="10.42578125" style="365" customWidth="1"/>
    <col min="12293" max="12293" width="94.85546875" style="365" customWidth="1"/>
    <col min="12294" max="12294" width="24.42578125" style="365" customWidth="1"/>
    <col min="12295" max="12297" width="8.85546875" style="365"/>
    <col min="12298" max="12298" width="13.7109375" style="365" bestFit="1" customWidth="1"/>
    <col min="12299" max="12544" width="8.85546875" style="365"/>
    <col min="12545" max="12547" width="4.7109375" style="365" customWidth="1"/>
    <col min="12548" max="12548" width="10.42578125" style="365" customWidth="1"/>
    <col min="12549" max="12549" width="94.85546875" style="365" customWidth="1"/>
    <col min="12550" max="12550" width="24.42578125" style="365" customWidth="1"/>
    <col min="12551" max="12553" width="8.85546875" style="365"/>
    <col min="12554" max="12554" width="13.7109375" style="365" bestFit="1" customWidth="1"/>
    <col min="12555" max="12800" width="8.85546875" style="365"/>
    <col min="12801" max="12803" width="4.7109375" style="365" customWidth="1"/>
    <col min="12804" max="12804" width="10.42578125" style="365" customWidth="1"/>
    <col min="12805" max="12805" width="94.85546875" style="365" customWidth="1"/>
    <col min="12806" max="12806" width="24.42578125" style="365" customWidth="1"/>
    <col min="12807" max="12809" width="8.85546875" style="365"/>
    <col min="12810" max="12810" width="13.7109375" style="365" bestFit="1" customWidth="1"/>
    <col min="12811" max="13056" width="8.85546875" style="365"/>
    <col min="13057" max="13059" width="4.7109375" style="365" customWidth="1"/>
    <col min="13060" max="13060" width="10.42578125" style="365" customWidth="1"/>
    <col min="13061" max="13061" width="94.85546875" style="365" customWidth="1"/>
    <col min="13062" max="13062" width="24.42578125" style="365" customWidth="1"/>
    <col min="13063" max="13065" width="8.85546875" style="365"/>
    <col min="13066" max="13066" width="13.7109375" style="365" bestFit="1" customWidth="1"/>
    <col min="13067" max="13312" width="8.85546875" style="365"/>
    <col min="13313" max="13315" width="4.7109375" style="365" customWidth="1"/>
    <col min="13316" max="13316" width="10.42578125" style="365" customWidth="1"/>
    <col min="13317" max="13317" width="94.85546875" style="365" customWidth="1"/>
    <col min="13318" max="13318" width="24.42578125" style="365" customWidth="1"/>
    <col min="13319" max="13321" width="8.85546875" style="365"/>
    <col min="13322" max="13322" width="13.7109375" style="365" bestFit="1" customWidth="1"/>
    <col min="13323" max="13568" width="8.85546875" style="365"/>
    <col min="13569" max="13571" width="4.7109375" style="365" customWidth="1"/>
    <col min="13572" max="13572" width="10.42578125" style="365" customWidth="1"/>
    <col min="13573" max="13573" width="94.85546875" style="365" customWidth="1"/>
    <col min="13574" max="13574" width="24.42578125" style="365" customWidth="1"/>
    <col min="13575" max="13577" width="8.85546875" style="365"/>
    <col min="13578" max="13578" width="13.7109375" style="365" bestFit="1" customWidth="1"/>
    <col min="13579" max="13824" width="8.85546875" style="365"/>
    <col min="13825" max="13827" width="4.7109375" style="365" customWidth="1"/>
    <col min="13828" max="13828" width="10.42578125" style="365" customWidth="1"/>
    <col min="13829" max="13829" width="94.85546875" style="365" customWidth="1"/>
    <col min="13830" max="13830" width="24.42578125" style="365" customWidth="1"/>
    <col min="13831" max="13833" width="8.85546875" style="365"/>
    <col min="13834" max="13834" width="13.7109375" style="365" bestFit="1" customWidth="1"/>
    <col min="13835" max="14080" width="8.85546875" style="365"/>
    <col min="14081" max="14083" width="4.7109375" style="365" customWidth="1"/>
    <col min="14084" max="14084" width="10.42578125" style="365" customWidth="1"/>
    <col min="14085" max="14085" width="94.85546875" style="365" customWidth="1"/>
    <col min="14086" max="14086" width="24.42578125" style="365" customWidth="1"/>
    <col min="14087" max="14089" width="8.85546875" style="365"/>
    <col min="14090" max="14090" width="13.7109375" style="365" bestFit="1" customWidth="1"/>
    <col min="14091" max="14336" width="8.85546875" style="365"/>
    <col min="14337" max="14339" width="4.7109375" style="365" customWidth="1"/>
    <col min="14340" max="14340" width="10.42578125" style="365" customWidth="1"/>
    <col min="14341" max="14341" width="94.85546875" style="365" customWidth="1"/>
    <col min="14342" max="14342" width="24.42578125" style="365" customWidth="1"/>
    <col min="14343" max="14345" width="8.85546875" style="365"/>
    <col min="14346" max="14346" width="13.7109375" style="365" bestFit="1" customWidth="1"/>
    <col min="14347" max="14592" width="8.85546875" style="365"/>
    <col min="14593" max="14595" width="4.7109375" style="365" customWidth="1"/>
    <col min="14596" max="14596" width="10.42578125" style="365" customWidth="1"/>
    <col min="14597" max="14597" width="94.85546875" style="365" customWidth="1"/>
    <col min="14598" max="14598" width="24.42578125" style="365" customWidth="1"/>
    <col min="14599" max="14601" width="8.85546875" style="365"/>
    <col min="14602" max="14602" width="13.7109375" style="365" bestFit="1" customWidth="1"/>
    <col min="14603" max="14848" width="8.85546875" style="365"/>
    <col min="14849" max="14851" width="4.7109375" style="365" customWidth="1"/>
    <col min="14852" max="14852" width="10.42578125" style="365" customWidth="1"/>
    <col min="14853" max="14853" width="94.85546875" style="365" customWidth="1"/>
    <col min="14854" max="14854" width="24.42578125" style="365" customWidth="1"/>
    <col min="14855" max="14857" width="8.85546875" style="365"/>
    <col min="14858" max="14858" width="13.7109375" style="365" bestFit="1" customWidth="1"/>
    <col min="14859" max="15104" width="8.85546875" style="365"/>
    <col min="15105" max="15107" width="4.7109375" style="365" customWidth="1"/>
    <col min="15108" max="15108" width="10.42578125" style="365" customWidth="1"/>
    <col min="15109" max="15109" width="94.85546875" style="365" customWidth="1"/>
    <col min="15110" max="15110" width="24.42578125" style="365" customWidth="1"/>
    <col min="15111" max="15113" width="8.85546875" style="365"/>
    <col min="15114" max="15114" width="13.7109375" style="365" bestFit="1" customWidth="1"/>
    <col min="15115" max="15360" width="8.85546875" style="365"/>
    <col min="15361" max="15363" width="4.7109375" style="365" customWidth="1"/>
    <col min="15364" max="15364" width="10.42578125" style="365" customWidth="1"/>
    <col min="15365" max="15365" width="94.85546875" style="365" customWidth="1"/>
    <col min="15366" max="15366" width="24.42578125" style="365" customWidth="1"/>
    <col min="15367" max="15369" width="8.85546875" style="365"/>
    <col min="15370" max="15370" width="13.7109375" style="365" bestFit="1" customWidth="1"/>
    <col min="15371" max="15616" width="8.85546875" style="365"/>
    <col min="15617" max="15619" width="4.7109375" style="365" customWidth="1"/>
    <col min="15620" max="15620" width="10.42578125" style="365" customWidth="1"/>
    <col min="15621" max="15621" width="94.85546875" style="365" customWidth="1"/>
    <col min="15622" max="15622" width="24.42578125" style="365" customWidth="1"/>
    <col min="15623" max="15625" width="8.85546875" style="365"/>
    <col min="15626" max="15626" width="13.7109375" style="365" bestFit="1" customWidth="1"/>
    <col min="15627" max="15872" width="8.85546875" style="365"/>
    <col min="15873" max="15875" width="4.7109375" style="365" customWidth="1"/>
    <col min="15876" max="15876" width="10.42578125" style="365" customWidth="1"/>
    <col min="15877" max="15877" width="94.85546875" style="365" customWidth="1"/>
    <col min="15878" max="15878" width="24.42578125" style="365" customWidth="1"/>
    <col min="15879" max="15881" width="8.85546875" style="365"/>
    <col min="15882" max="15882" width="13.7109375" style="365" bestFit="1" customWidth="1"/>
    <col min="15883" max="16128" width="8.85546875" style="365"/>
    <col min="16129" max="16131" width="4.7109375" style="365" customWidth="1"/>
    <col min="16132" max="16132" width="10.42578125" style="365" customWidth="1"/>
    <col min="16133" max="16133" width="94.85546875" style="365" customWidth="1"/>
    <col min="16134" max="16134" width="24.42578125" style="365" customWidth="1"/>
    <col min="16135" max="16137" width="8.85546875" style="365"/>
    <col min="16138" max="16138" width="13.7109375" style="365" bestFit="1" customWidth="1"/>
    <col min="16139" max="16384" width="8.85546875" style="365"/>
  </cols>
  <sheetData>
    <row r="1" spans="1:7">
      <c r="A1" s="361" t="s">
        <v>950</v>
      </c>
      <c r="B1" s="362"/>
      <c r="C1" s="362"/>
      <c r="D1" s="362"/>
      <c r="E1" s="363"/>
      <c r="F1" s="364"/>
      <c r="G1" s="363"/>
    </row>
    <row r="2" spans="1:7">
      <c r="A2" s="362"/>
      <c r="B2" s="362"/>
      <c r="C2" s="362"/>
      <c r="D2" s="362"/>
      <c r="E2" s="363"/>
      <c r="F2" s="364"/>
      <c r="G2" s="363"/>
    </row>
    <row r="3" spans="1:7">
      <c r="A3" s="724" t="s">
        <v>951</v>
      </c>
      <c r="B3" s="724"/>
      <c r="C3" s="724"/>
      <c r="D3" s="724"/>
      <c r="E3" s="724"/>
      <c r="F3" s="724"/>
      <c r="G3" s="724"/>
    </row>
    <row r="4" spans="1:7">
      <c r="A4" s="724" t="s">
        <v>952</v>
      </c>
      <c r="B4" s="724"/>
      <c r="C4" s="724"/>
      <c r="D4" s="724"/>
      <c r="E4" s="724"/>
      <c r="F4" s="724"/>
      <c r="G4" s="724"/>
    </row>
    <row r="5" spans="1:7">
      <c r="A5" s="724" t="s">
        <v>1007</v>
      </c>
      <c r="B5" s="724"/>
      <c r="C5" s="724"/>
      <c r="D5" s="724"/>
      <c r="E5" s="724"/>
      <c r="F5" s="724"/>
      <c r="G5" s="724"/>
    </row>
    <row r="6" spans="1:7">
      <c r="A6" s="362"/>
      <c r="B6" s="362"/>
      <c r="C6" s="362"/>
      <c r="D6" s="362"/>
      <c r="E6" s="363"/>
      <c r="F6" s="364"/>
      <c r="G6" s="363"/>
    </row>
    <row r="7" spans="1:7">
      <c r="A7" s="361" t="s">
        <v>339</v>
      </c>
      <c r="B7" s="362"/>
      <c r="C7" s="362"/>
      <c r="D7" s="362"/>
      <c r="E7" s="363" t="s">
        <v>1</v>
      </c>
      <c r="F7" s="364"/>
      <c r="G7" s="363"/>
    </row>
    <row r="8" spans="1:7">
      <c r="A8" s="361" t="s">
        <v>340</v>
      </c>
      <c r="B8" s="362"/>
      <c r="C8" s="362"/>
      <c r="D8" s="362"/>
      <c r="E8" s="363" t="s">
        <v>3</v>
      </c>
      <c r="F8" s="364"/>
      <c r="G8" s="363"/>
    </row>
    <row r="9" spans="1:7">
      <c r="A9" s="361" t="s">
        <v>61</v>
      </c>
      <c r="B9" s="362"/>
      <c r="C9" s="362"/>
      <c r="D9" s="362"/>
      <c r="E9" s="363" t="s">
        <v>62</v>
      </c>
      <c r="F9" s="364"/>
      <c r="G9" s="363"/>
    </row>
    <row r="10" spans="1:7">
      <c r="A10" s="361" t="s">
        <v>63</v>
      </c>
      <c r="B10" s="362"/>
      <c r="C10" s="362"/>
      <c r="D10" s="362"/>
      <c r="E10" s="363" t="s">
        <v>64</v>
      </c>
      <c r="F10" s="364"/>
      <c r="G10" s="363"/>
    </row>
    <row r="11" spans="1:7" ht="16.5" thickBot="1"/>
    <row r="12" spans="1:7" ht="25.5" customHeight="1">
      <c r="A12" s="725" t="s">
        <v>301</v>
      </c>
      <c r="B12" s="726"/>
      <c r="C12" s="726"/>
      <c r="D12" s="726"/>
      <c r="E12" s="726" t="s">
        <v>953</v>
      </c>
      <c r="F12" s="729" t="s">
        <v>954</v>
      </c>
      <c r="G12" s="732" t="s">
        <v>955</v>
      </c>
    </row>
    <row r="13" spans="1:7" s="363" customFormat="1" ht="15.75" customHeight="1">
      <c r="A13" s="727"/>
      <c r="B13" s="728"/>
      <c r="C13" s="728"/>
      <c r="D13" s="728"/>
      <c r="E13" s="728"/>
      <c r="F13" s="730"/>
      <c r="G13" s="733"/>
    </row>
    <row r="14" spans="1:7" s="363" customFormat="1">
      <c r="A14" s="727"/>
      <c r="B14" s="728"/>
      <c r="C14" s="728"/>
      <c r="D14" s="728"/>
      <c r="E14" s="728"/>
      <c r="F14" s="730"/>
      <c r="G14" s="733"/>
    </row>
    <row r="15" spans="1:7" s="368" customFormat="1">
      <c r="A15" s="727"/>
      <c r="B15" s="728"/>
      <c r="C15" s="728"/>
      <c r="D15" s="728"/>
      <c r="E15" s="728"/>
      <c r="F15" s="730"/>
      <c r="G15" s="733"/>
    </row>
    <row r="16" spans="1:7" s="368" customFormat="1">
      <c r="A16" s="727"/>
      <c r="B16" s="728"/>
      <c r="C16" s="728"/>
      <c r="D16" s="728"/>
      <c r="E16" s="728"/>
      <c r="F16" s="731"/>
      <c r="G16" s="733"/>
    </row>
    <row r="17" spans="1:7" s="366" customFormat="1">
      <c r="A17" s="717">
        <v>1</v>
      </c>
      <c r="B17" s="718"/>
      <c r="C17" s="718"/>
      <c r="D17" s="718"/>
      <c r="E17" s="369">
        <v>2</v>
      </c>
      <c r="F17" s="369">
        <v>4</v>
      </c>
      <c r="G17" s="370">
        <v>5</v>
      </c>
    </row>
    <row r="18" spans="1:7">
      <c r="A18" s="371" t="s">
        <v>236</v>
      </c>
      <c r="B18" s="372" t="s">
        <v>237</v>
      </c>
      <c r="C18" s="372" t="s">
        <v>238</v>
      </c>
      <c r="D18" s="372" t="s">
        <v>239</v>
      </c>
      <c r="E18" s="373"/>
      <c r="F18" s="374"/>
      <c r="G18" s="375"/>
    </row>
    <row r="19" spans="1:7" s="363" customFormat="1">
      <c r="A19" s="376">
        <v>4</v>
      </c>
      <c r="B19" s="377" t="s">
        <v>956</v>
      </c>
      <c r="C19" s="377" t="s">
        <v>956</v>
      </c>
      <c r="D19" s="377"/>
      <c r="E19" s="378" t="s">
        <v>957</v>
      </c>
      <c r="F19" s="379">
        <f>F20+F43+F56</f>
        <v>2417326700</v>
      </c>
      <c r="G19" s="380"/>
    </row>
    <row r="20" spans="1:7" s="363" customFormat="1">
      <c r="A20" s="376">
        <v>4</v>
      </c>
      <c r="B20" s="377">
        <v>1</v>
      </c>
      <c r="C20" s="377" t="s">
        <v>956</v>
      </c>
      <c r="D20" s="377"/>
      <c r="E20" s="378" t="s">
        <v>958</v>
      </c>
      <c r="F20" s="379">
        <f>F24+F37+F40</f>
        <v>17250000</v>
      </c>
      <c r="G20" s="381"/>
    </row>
    <row r="21" spans="1:7" s="386" customFormat="1">
      <c r="A21" s="376">
        <v>4</v>
      </c>
      <c r="B21" s="382">
        <v>1</v>
      </c>
      <c r="C21" s="382">
        <v>1</v>
      </c>
      <c r="D21" s="382"/>
      <c r="E21" s="383" t="s">
        <v>959</v>
      </c>
      <c r="F21" s="384">
        <f>SUM(F22:F23)</f>
        <v>0</v>
      </c>
      <c r="G21" s="385"/>
    </row>
    <row r="22" spans="1:7">
      <c r="A22" s="376">
        <v>4</v>
      </c>
      <c r="B22" s="387">
        <v>1</v>
      </c>
      <c r="C22" s="387">
        <v>1</v>
      </c>
      <c r="D22" s="388" t="s">
        <v>960</v>
      </c>
      <c r="E22" s="389" t="s">
        <v>961</v>
      </c>
      <c r="F22" s="390">
        <v>0</v>
      </c>
      <c r="G22" s="375"/>
    </row>
    <row r="23" spans="1:7">
      <c r="A23" s="376">
        <v>4</v>
      </c>
      <c r="B23" s="387">
        <v>1</v>
      </c>
      <c r="C23" s="387">
        <v>1</v>
      </c>
      <c r="D23" s="387" t="s">
        <v>962</v>
      </c>
      <c r="E23" s="389" t="s">
        <v>963</v>
      </c>
      <c r="F23" s="390">
        <v>0</v>
      </c>
      <c r="G23" s="375"/>
    </row>
    <row r="24" spans="1:7" s="386" customFormat="1">
      <c r="A24" s="376">
        <v>4</v>
      </c>
      <c r="B24" s="382">
        <v>1</v>
      </c>
      <c r="C24" s="382">
        <v>2</v>
      </c>
      <c r="D24" s="382"/>
      <c r="E24" s="383" t="s">
        <v>964</v>
      </c>
      <c r="F24" s="384">
        <f>SUM(F25:F33)</f>
        <v>17250000</v>
      </c>
      <c r="G24" s="385"/>
    </row>
    <row r="25" spans="1:7">
      <c r="A25" s="376">
        <v>4</v>
      </c>
      <c r="B25" s="387">
        <v>1</v>
      </c>
      <c r="C25" s="387">
        <v>2</v>
      </c>
      <c r="D25" s="388" t="s">
        <v>960</v>
      </c>
      <c r="E25" s="389" t="s">
        <v>965</v>
      </c>
      <c r="F25" s="390">
        <v>15000000</v>
      </c>
      <c r="G25" s="375"/>
    </row>
    <row r="26" spans="1:7">
      <c r="A26" s="376">
        <v>4</v>
      </c>
      <c r="B26" s="387">
        <v>1</v>
      </c>
      <c r="C26" s="387">
        <v>2</v>
      </c>
      <c r="D26" s="388" t="s">
        <v>966</v>
      </c>
      <c r="E26" s="389" t="s">
        <v>967</v>
      </c>
      <c r="F26" s="390">
        <v>0</v>
      </c>
      <c r="G26" s="375"/>
    </row>
    <row r="27" spans="1:7">
      <c r="A27" s="376">
        <v>4</v>
      </c>
      <c r="B27" s="387">
        <v>1</v>
      </c>
      <c r="C27" s="387">
        <v>2</v>
      </c>
      <c r="D27" s="388" t="s">
        <v>968</v>
      </c>
      <c r="E27" s="389" t="s">
        <v>969</v>
      </c>
      <c r="F27" s="390">
        <v>0</v>
      </c>
      <c r="G27" s="375"/>
    </row>
    <row r="28" spans="1:7">
      <c r="A28" s="376">
        <v>4</v>
      </c>
      <c r="B28" s="387">
        <v>1</v>
      </c>
      <c r="C28" s="387">
        <v>2</v>
      </c>
      <c r="D28" s="388" t="s">
        <v>970</v>
      </c>
      <c r="E28" s="389" t="s">
        <v>971</v>
      </c>
      <c r="F28" s="390">
        <v>0</v>
      </c>
      <c r="G28" s="375"/>
    </row>
    <row r="29" spans="1:7">
      <c r="A29" s="376">
        <v>4</v>
      </c>
      <c r="B29" s="387">
        <v>1</v>
      </c>
      <c r="C29" s="387">
        <v>2</v>
      </c>
      <c r="D29" s="388" t="s">
        <v>972</v>
      </c>
      <c r="E29" s="389" t="s">
        <v>973</v>
      </c>
      <c r="F29" s="390">
        <v>0</v>
      </c>
      <c r="G29" s="375"/>
    </row>
    <row r="30" spans="1:7">
      <c r="A30" s="376">
        <v>4</v>
      </c>
      <c r="B30" s="387">
        <v>1</v>
      </c>
      <c r="C30" s="387">
        <v>2</v>
      </c>
      <c r="D30" s="388" t="s">
        <v>974</v>
      </c>
      <c r="E30" s="389" t="s">
        <v>975</v>
      </c>
      <c r="F30" s="390">
        <v>0</v>
      </c>
      <c r="G30" s="375"/>
    </row>
    <row r="31" spans="1:7">
      <c r="A31" s="376">
        <v>4</v>
      </c>
      <c r="B31" s="387">
        <v>1</v>
      </c>
      <c r="C31" s="387">
        <v>2</v>
      </c>
      <c r="D31" s="388" t="s">
        <v>976</v>
      </c>
      <c r="E31" s="389" t="s">
        <v>977</v>
      </c>
      <c r="F31" s="390">
        <f>F27-N21</f>
        <v>0</v>
      </c>
      <c r="G31" s="375"/>
    </row>
    <row r="32" spans="1:7">
      <c r="A32" s="376">
        <v>4</v>
      </c>
      <c r="B32" s="387">
        <v>1</v>
      </c>
      <c r="C32" s="387">
        <v>2</v>
      </c>
      <c r="D32" s="388" t="s">
        <v>978</v>
      </c>
      <c r="E32" s="389" t="s">
        <v>979</v>
      </c>
      <c r="F32" s="390">
        <v>0</v>
      </c>
      <c r="G32" s="375"/>
    </row>
    <row r="33" spans="1:7" s="363" customFormat="1">
      <c r="A33" s="376">
        <v>4</v>
      </c>
      <c r="B33" s="377">
        <v>1</v>
      </c>
      <c r="C33" s="377">
        <v>2</v>
      </c>
      <c r="D33" s="377" t="s">
        <v>962</v>
      </c>
      <c r="E33" s="378" t="s">
        <v>963</v>
      </c>
      <c r="F33" s="379">
        <f>SUM(F34:F36)</f>
        <v>2250000</v>
      </c>
      <c r="G33" s="380"/>
    </row>
    <row r="34" spans="1:7">
      <c r="A34" s="376"/>
      <c r="B34" s="387"/>
      <c r="C34" s="387"/>
      <c r="D34" s="387"/>
      <c r="E34" s="389" t="s">
        <v>980</v>
      </c>
      <c r="F34" s="390">
        <v>750000</v>
      </c>
      <c r="G34" s="375"/>
    </row>
    <row r="35" spans="1:7">
      <c r="A35" s="376"/>
      <c r="B35" s="387"/>
      <c r="C35" s="387"/>
      <c r="D35" s="387"/>
      <c r="E35" s="389" t="s">
        <v>981</v>
      </c>
      <c r="F35" s="390">
        <v>500000</v>
      </c>
      <c r="G35" s="375"/>
    </row>
    <row r="36" spans="1:7">
      <c r="A36" s="376"/>
      <c r="B36" s="387"/>
      <c r="C36" s="387"/>
      <c r="D36" s="387"/>
      <c r="E36" s="389" t="s">
        <v>982</v>
      </c>
      <c r="F36" s="390">
        <v>1000000</v>
      </c>
      <c r="G36" s="375"/>
    </row>
    <row r="37" spans="1:7" s="386" customFormat="1">
      <c r="A37" s="376">
        <v>4</v>
      </c>
      <c r="B37" s="382">
        <v>1</v>
      </c>
      <c r="C37" s="382">
        <v>3</v>
      </c>
      <c r="D37" s="382"/>
      <c r="E37" s="383" t="s">
        <v>983</v>
      </c>
      <c r="F37" s="384">
        <f>SUM(F38:F39)</f>
        <v>0</v>
      </c>
      <c r="G37" s="385"/>
    </row>
    <row r="38" spans="1:7">
      <c r="A38" s="376">
        <v>4</v>
      </c>
      <c r="B38" s="387">
        <v>1</v>
      </c>
      <c r="C38" s="387">
        <v>3</v>
      </c>
      <c r="D38" s="388" t="s">
        <v>960</v>
      </c>
      <c r="E38" s="389" t="s">
        <v>984</v>
      </c>
      <c r="F38" s="390">
        <v>0</v>
      </c>
      <c r="G38" s="375"/>
    </row>
    <row r="39" spans="1:7">
      <c r="A39" s="376">
        <v>4</v>
      </c>
      <c r="B39" s="387">
        <v>1</v>
      </c>
      <c r="C39" s="387">
        <v>3</v>
      </c>
      <c r="D39" s="387" t="s">
        <v>962</v>
      </c>
      <c r="E39" s="389" t="s">
        <v>985</v>
      </c>
      <c r="F39" s="390">
        <v>0</v>
      </c>
      <c r="G39" s="375"/>
    </row>
    <row r="40" spans="1:7" s="386" customFormat="1">
      <c r="A40" s="376">
        <v>4</v>
      </c>
      <c r="B40" s="382">
        <v>1</v>
      </c>
      <c r="C40" s="382">
        <v>4</v>
      </c>
      <c r="D40" s="382"/>
      <c r="E40" s="383" t="s">
        <v>986</v>
      </c>
      <c r="F40" s="384">
        <f>SUM(F41:F42)</f>
        <v>0</v>
      </c>
      <c r="G40" s="385"/>
    </row>
    <row r="41" spans="1:7">
      <c r="A41" s="376">
        <v>4</v>
      </c>
      <c r="B41" s="387">
        <v>1</v>
      </c>
      <c r="C41" s="387">
        <v>4</v>
      </c>
      <c r="D41" s="388" t="s">
        <v>960</v>
      </c>
      <c r="E41" s="389" t="s">
        <v>987</v>
      </c>
      <c r="F41" s="390"/>
      <c r="G41" s="375"/>
    </row>
    <row r="42" spans="1:7">
      <c r="A42" s="376">
        <v>4</v>
      </c>
      <c r="B42" s="387">
        <v>1</v>
      </c>
      <c r="C42" s="387">
        <v>4</v>
      </c>
      <c r="D42" s="387" t="s">
        <v>962</v>
      </c>
      <c r="E42" s="389" t="s">
        <v>963</v>
      </c>
      <c r="F42" s="390">
        <v>0</v>
      </c>
      <c r="G42" s="375"/>
    </row>
    <row r="43" spans="1:7" s="363" customFormat="1">
      <c r="A43" s="376">
        <v>4</v>
      </c>
      <c r="B43" s="377">
        <v>2</v>
      </c>
      <c r="C43" s="377" t="s">
        <v>956</v>
      </c>
      <c r="D43" s="377"/>
      <c r="E43" s="378" t="s">
        <v>988</v>
      </c>
      <c r="F43" s="379">
        <f>F44+F46+F48+F50+F53</f>
        <v>2398576700</v>
      </c>
      <c r="G43" s="380"/>
    </row>
    <row r="44" spans="1:7" s="386" customFormat="1">
      <c r="A44" s="376">
        <v>4</v>
      </c>
      <c r="B44" s="382">
        <v>2</v>
      </c>
      <c r="C44" s="382">
        <v>1</v>
      </c>
      <c r="D44" s="382"/>
      <c r="E44" s="383" t="s">
        <v>989</v>
      </c>
      <c r="F44" s="384">
        <f>SUM(F45)</f>
        <v>1198676000</v>
      </c>
      <c r="G44" s="385"/>
    </row>
    <row r="45" spans="1:7">
      <c r="A45" s="376">
        <v>4</v>
      </c>
      <c r="B45" s="387">
        <v>2</v>
      </c>
      <c r="C45" s="387">
        <v>1</v>
      </c>
      <c r="D45" s="388" t="s">
        <v>960</v>
      </c>
      <c r="E45" s="389" t="s">
        <v>989</v>
      </c>
      <c r="F45" s="390">
        <v>1198676000</v>
      </c>
      <c r="G45" s="375"/>
    </row>
    <row r="46" spans="1:7" s="386" customFormat="1">
      <c r="A46" s="376">
        <v>4</v>
      </c>
      <c r="B46" s="382">
        <v>2</v>
      </c>
      <c r="C46" s="382">
        <v>2</v>
      </c>
      <c r="D46" s="382"/>
      <c r="E46" s="383" t="s">
        <v>990</v>
      </c>
      <c r="F46" s="384">
        <f>SUM(F47)</f>
        <v>69807500</v>
      </c>
      <c r="G46" s="385"/>
    </row>
    <row r="47" spans="1:7">
      <c r="A47" s="376">
        <v>4</v>
      </c>
      <c r="B47" s="387">
        <v>2</v>
      </c>
      <c r="C47" s="387">
        <v>2</v>
      </c>
      <c r="D47" s="388" t="s">
        <v>960</v>
      </c>
      <c r="E47" s="389" t="s">
        <v>990</v>
      </c>
      <c r="F47" s="390">
        <v>69807500</v>
      </c>
      <c r="G47" s="375"/>
    </row>
    <row r="48" spans="1:7" s="386" customFormat="1">
      <c r="A48" s="376">
        <v>4</v>
      </c>
      <c r="B48" s="382">
        <v>2</v>
      </c>
      <c r="C48" s="382">
        <v>3</v>
      </c>
      <c r="D48" s="382"/>
      <c r="E48" s="383" t="s">
        <v>991</v>
      </c>
      <c r="F48" s="384">
        <f>SUM(F49)</f>
        <v>867093200</v>
      </c>
      <c r="G48" s="385"/>
    </row>
    <row r="49" spans="1:7">
      <c r="A49" s="376">
        <v>4</v>
      </c>
      <c r="B49" s="387">
        <v>2</v>
      </c>
      <c r="C49" s="387">
        <v>3</v>
      </c>
      <c r="D49" s="388" t="s">
        <v>960</v>
      </c>
      <c r="E49" s="389" t="s">
        <v>991</v>
      </c>
      <c r="F49" s="390">
        <v>867093200</v>
      </c>
      <c r="G49" s="375"/>
    </row>
    <row r="50" spans="1:7" s="386" customFormat="1">
      <c r="A50" s="376">
        <v>4</v>
      </c>
      <c r="B50" s="382">
        <v>2</v>
      </c>
      <c r="C50" s="382">
        <v>4</v>
      </c>
      <c r="D50" s="382"/>
      <c r="E50" s="383" t="s">
        <v>992</v>
      </c>
      <c r="F50" s="384">
        <f>SUM(F51:F52)</f>
        <v>0</v>
      </c>
      <c r="G50" s="385"/>
    </row>
    <row r="51" spans="1:7">
      <c r="A51" s="376">
        <v>4</v>
      </c>
      <c r="B51" s="387">
        <v>2</v>
      </c>
      <c r="C51" s="387">
        <v>4</v>
      </c>
      <c r="D51" s="388" t="s">
        <v>960</v>
      </c>
      <c r="E51" s="389" t="s">
        <v>993</v>
      </c>
      <c r="F51" s="390">
        <v>0</v>
      </c>
      <c r="G51" s="375"/>
    </row>
    <row r="52" spans="1:7">
      <c r="A52" s="376">
        <v>4</v>
      </c>
      <c r="B52" s="387">
        <v>2</v>
      </c>
      <c r="C52" s="387">
        <v>4</v>
      </c>
      <c r="D52" s="387" t="s">
        <v>962</v>
      </c>
      <c r="E52" s="389" t="s">
        <v>994</v>
      </c>
      <c r="F52" s="390">
        <v>0</v>
      </c>
      <c r="G52" s="375"/>
    </row>
    <row r="53" spans="1:7" s="386" customFormat="1" ht="22.5" customHeight="1">
      <c r="A53" s="376">
        <v>4</v>
      </c>
      <c r="B53" s="382">
        <v>2</v>
      </c>
      <c r="C53" s="382">
        <v>5</v>
      </c>
      <c r="D53" s="382"/>
      <c r="E53" s="383" t="s">
        <v>995</v>
      </c>
      <c r="F53" s="384">
        <f>SUM(F54:F55)</f>
        <v>263000000</v>
      </c>
      <c r="G53" s="385"/>
    </row>
    <row r="54" spans="1:7" ht="21" customHeight="1">
      <c r="A54" s="376">
        <v>4</v>
      </c>
      <c r="B54" s="387">
        <v>2</v>
      </c>
      <c r="C54" s="387">
        <v>5</v>
      </c>
      <c r="D54" s="388" t="s">
        <v>960</v>
      </c>
      <c r="E54" s="389" t="s">
        <v>995</v>
      </c>
      <c r="F54" s="390">
        <f>355000000-92000000</f>
        <v>263000000</v>
      </c>
      <c r="G54" s="375"/>
    </row>
    <row r="55" spans="1:7">
      <c r="A55" s="376">
        <v>4</v>
      </c>
      <c r="B55" s="387">
        <v>2</v>
      </c>
      <c r="C55" s="387">
        <v>5</v>
      </c>
      <c r="D55" s="387" t="s">
        <v>962</v>
      </c>
      <c r="E55" s="389" t="s">
        <v>996</v>
      </c>
      <c r="F55" s="390">
        <v>0</v>
      </c>
      <c r="G55" s="375"/>
    </row>
    <row r="56" spans="1:7" s="386" customFormat="1">
      <c r="A56" s="376">
        <v>4</v>
      </c>
      <c r="B56" s="377">
        <v>3</v>
      </c>
      <c r="C56" s="377" t="s">
        <v>956</v>
      </c>
      <c r="D56" s="377"/>
      <c r="E56" s="378" t="s">
        <v>997</v>
      </c>
      <c r="F56" s="384">
        <f>F57+F59+F61+F63+F65+F67+F69</f>
        <v>1500000</v>
      </c>
      <c r="G56" s="385"/>
    </row>
    <row r="57" spans="1:7" s="386" customFormat="1">
      <c r="A57" s="376">
        <v>4</v>
      </c>
      <c r="B57" s="382">
        <v>3</v>
      </c>
      <c r="C57" s="382">
        <v>1</v>
      </c>
      <c r="D57" s="382"/>
      <c r="E57" s="383" t="s">
        <v>998</v>
      </c>
      <c r="F57" s="384">
        <f>SUM(F58)</f>
        <v>0</v>
      </c>
      <c r="G57" s="385"/>
    </row>
    <row r="58" spans="1:7">
      <c r="A58" s="376">
        <v>4</v>
      </c>
      <c r="B58" s="387">
        <v>3</v>
      </c>
      <c r="C58" s="387">
        <v>1</v>
      </c>
      <c r="D58" s="388" t="s">
        <v>960</v>
      </c>
      <c r="E58" s="389" t="s">
        <v>998</v>
      </c>
      <c r="F58" s="390">
        <v>0</v>
      </c>
      <c r="G58" s="375"/>
    </row>
    <row r="59" spans="1:7" s="386" customFormat="1">
      <c r="A59" s="376">
        <v>4</v>
      </c>
      <c r="B59" s="382">
        <v>3</v>
      </c>
      <c r="C59" s="382">
        <v>2</v>
      </c>
      <c r="D59" s="382"/>
      <c r="E59" s="383" t="s">
        <v>999</v>
      </c>
      <c r="F59" s="384">
        <f>SUM(F60)</f>
        <v>0</v>
      </c>
      <c r="G59" s="385"/>
    </row>
    <row r="60" spans="1:7">
      <c r="A60" s="376">
        <v>4</v>
      </c>
      <c r="B60" s="387">
        <v>3</v>
      </c>
      <c r="C60" s="387">
        <v>2</v>
      </c>
      <c r="D60" s="388" t="s">
        <v>960</v>
      </c>
      <c r="E60" s="389" t="s">
        <v>999</v>
      </c>
      <c r="F60" s="390">
        <v>0</v>
      </c>
      <c r="G60" s="375"/>
    </row>
    <row r="61" spans="1:7" s="386" customFormat="1">
      <c r="A61" s="376">
        <v>4</v>
      </c>
      <c r="B61" s="382">
        <v>3</v>
      </c>
      <c r="C61" s="382">
        <v>3</v>
      </c>
      <c r="D61" s="382"/>
      <c r="E61" s="383" t="s">
        <v>1000</v>
      </c>
      <c r="F61" s="384">
        <f>SUM(F62)</f>
        <v>0</v>
      </c>
      <c r="G61" s="385"/>
    </row>
    <row r="62" spans="1:7">
      <c r="A62" s="376">
        <v>4</v>
      </c>
      <c r="B62" s="387">
        <v>3</v>
      </c>
      <c r="C62" s="387">
        <v>3</v>
      </c>
      <c r="D62" s="388" t="s">
        <v>960</v>
      </c>
      <c r="E62" s="389" t="s">
        <v>1000</v>
      </c>
      <c r="F62" s="390">
        <v>0</v>
      </c>
      <c r="G62" s="375"/>
    </row>
    <row r="63" spans="1:7" s="386" customFormat="1">
      <c r="A63" s="376">
        <v>4</v>
      </c>
      <c r="B63" s="382">
        <v>3</v>
      </c>
      <c r="C63" s="382">
        <v>4</v>
      </c>
      <c r="D63" s="382"/>
      <c r="E63" s="383" t="s">
        <v>1001</v>
      </c>
      <c r="F63" s="384">
        <f>SUM(F64)</f>
        <v>0</v>
      </c>
      <c r="G63" s="385"/>
    </row>
    <row r="64" spans="1:7">
      <c r="A64" s="376">
        <v>4</v>
      </c>
      <c r="B64" s="387">
        <v>3</v>
      </c>
      <c r="C64" s="387">
        <v>4</v>
      </c>
      <c r="D64" s="388" t="s">
        <v>960</v>
      </c>
      <c r="E64" s="389" t="s">
        <v>1001</v>
      </c>
      <c r="F64" s="390"/>
      <c r="G64" s="375"/>
    </row>
    <row r="65" spans="1:7" s="386" customFormat="1" ht="32.1" customHeight="1">
      <c r="A65" s="376">
        <v>4</v>
      </c>
      <c r="B65" s="382">
        <v>3</v>
      </c>
      <c r="C65" s="382">
        <v>5</v>
      </c>
      <c r="D65" s="382"/>
      <c r="E65" s="383" t="s">
        <v>1002</v>
      </c>
      <c r="F65" s="384">
        <f>SUM(F66)</f>
        <v>0</v>
      </c>
      <c r="G65" s="385"/>
    </row>
    <row r="66" spans="1:7" ht="31.5">
      <c r="A66" s="376">
        <v>4</v>
      </c>
      <c r="B66" s="387">
        <v>3</v>
      </c>
      <c r="C66" s="387">
        <v>5</v>
      </c>
      <c r="D66" s="388" t="s">
        <v>960</v>
      </c>
      <c r="E66" s="389" t="s">
        <v>1002</v>
      </c>
      <c r="F66" s="390">
        <v>0</v>
      </c>
      <c r="G66" s="375"/>
    </row>
    <row r="67" spans="1:7" s="386" customFormat="1">
      <c r="A67" s="376">
        <v>4</v>
      </c>
      <c r="B67" s="382">
        <v>3</v>
      </c>
      <c r="C67" s="382">
        <v>6</v>
      </c>
      <c r="D67" s="382"/>
      <c r="E67" s="383" t="s">
        <v>1003</v>
      </c>
      <c r="F67" s="384">
        <f>SUM(F68)</f>
        <v>1500000</v>
      </c>
      <c r="G67" s="385"/>
    </row>
    <row r="68" spans="1:7">
      <c r="A68" s="376">
        <v>4</v>
      </c>
      <c r="B68" s="387">
        <v>3</v>
      </c>
      <c r="C68" s="387">
        <v>6</v>
      </c>
      <c r="D68" s="388" t="s">
        <v>960</v>
      </c>
      <c r="E68" s="389" t="s">
        <v>1003</v>
      </c>
      <c r="F68" s="390">
        <v>1500000</v>
      </c>
      <c r="G68" s="375"/>
    </row>
    <row r="69" spans="1:7" s="386" customFormat="1" ht="17.25" customHeight="1">
      <c r="A69" s="376">
        <v>4</v>
      </c>
      <c r="B69" s="382">
        <v>3</v>
      </c>
      <c r="C69" s="382">
        <v>9</v>
      </c>
      <c r="D69" s="382"/>
      <c r="E69" s="383" t="s">
        <v>1004</v>
      </c>
      <c r="F69" s="384">
        <f>SUM(F70)</f>
        <v>0</v>
      </c>
      <c r="G69" s="385"/>
    </row>
    <row r="70" spans="1:7">
      <c r="A70" s="376">
        <v>4</v>
      </c>
      <c r="B70" s="387">
        <v>3</v>
      </c>
      <c r="C70" s="387">
        <v>9</v>
      </c>
      <c r="D70" s="387" t="s">
        <v>962</v>
      </c>
      <c r="E70" s="389" t="s">
        <v>1004</v>
      </c>
      <c r="F70" s="390"/>
      <c r="G70" s="375"/>
    </row>
    <row r="71" spans="1:7" s="363" customFormat="1" ht="16.5" thickBot="1">
      <c r="A71" s="719" t="s">
        <v>1005</v>
      </c>
      <c r="B71" s="720"/>
      <c r="C71" s="720"/>
      <c r="D71" s="720"/>
      <c r="E71" s="721"/>
      <c r="F71" s="391">
        <f>F19</f>
        <v>2417326700</v>
      </c>
      <c r="G71" s="392"/>
    </row>
    <row r="72" spans="1:7">
      <c r="A72" s="393"/>
      <c r="B72" s="393"/>
      <c r="C72" s="393"/>
      <c r="D72" s="393"/>
      <c r="E72" s="394"/>
      <c r="F72" s="395"/>
    </row>
    <row r="73" spans="1:7" ht="18" customHeight="1">
      <c r="F73" s="722" t="s">
        <v>1008</v>
      </c>
      <c r="G73" s="722"/>
    </row>
    <row r="74" spans="1:7" ht="33.75" customHeight="1">
      <c r="F74" s="722" t="s">
        <v>1006</v>
      </c>
      <c r="G74" s="722"/>
    </row>
    <row r="75" spans="1:7">
      <c r="E75" s="396"/>
    </row>
    <row r="76" spans="1:7">
      <c r="E76" s="397"/>
    </row>
    <row r="79" spans="1:7">
      <c r="F79" s="723" t="s">
        <v>35</v>
      </c>
      <c r="G79" s="723"/>
    </row>
  </sheetData>
  <mergeCells count="12">
    <mergeCell ref="A3:G3"/>
    <mergeCell ref="A4:G4"/>
    <mergeCell ref="A5:G5"/>
    <mergeCell ref="A12:D16"/>
    <mergeCell ref="E12:E16"/>
    <mergeCell ref="F12:F16"/>
    <mergeCell ref="G12:G16"/>
    <mergeCell ref="A17:D17"/>
    <mergeCell ref="A71:E71"/>
    <mergeCell ref="F73:G73"/>
    <mergeCell ref="F74:G74"/>
    <mergeCell ref="F79:G79"/>
  </mergeCells>
  <pageMargins left="0.7" right="0.7" top="0.75" bottom="0.75" header="0.3" footer="0.3"/>
  <pageSetup paperSize="300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D6" zoomScale="110" zoomScaleNormal="110" zoomScaleSheetLayoutView="100" workbookViewId="0">
      <selection activeCell="G112" sqref="G112"/>
    </sheetView>
  </sheetViews>
  <sheetFormatPr defaultRowHeight="15"/>
  <cols>
    <col min="1" max="4" width="5.140625" style="229" customWidth="1"/>
    <col min="5" max="5" width="86.85546875" style="229" customWidth="1"/>
    <col min="6" max="6" width="13.140625" style="315" hidden="1" customWidth="1"/>
    <col min="7" max="7" width="21.140625" style="229" customWidth="1"/>
    <col min="8" max="8" width="22.85546875" style="316" hidden="1" customWidth="1"/>
    <col min="9" max="9" width="33.140625" style="316" customWidth="1"/>
    <col min="10" max="12" width="9.140625" style="229"/>
    <col min="13" max="13" width="46.28515625" style="229" customWidth="1"/>
    <col min="14" max="256" width="9.140625" style="229"/>
    <col min="257" max="260" width="5.140625" style="229" customWidth="1"/>
    <col min="261" max="261" width="86.85546875" style="229" customWidth="1"/>
    <col min="262" max="262" width="13.140625" style="229" bestFit="1" customWidth="1"/>
    <col min="263" max="263" width="21.140625" style="229" customWidth="1"/>
    <col min="264" max="264" width="22.85546875" style="229" customWidth="1"/>
    <col min="265" max="265" width="33.140625" style="229" customWidth="1"/>
    <col min="266" max="268" width="9.140625" style="229"/>
    <col min="269" max="269" width="46.28515625" style="229" customWidth="1"/>
    <col min="270" max="512" width="9.140625" style="229"/>
    <col min="513" max="516" width="5.140625" style="229" customWidth="1"/>
    <col min="517" max="517" width="86.85546875" style="229" customWidth="1"/>
    <col min="518" max="518" width="13.140625" style="229" bestFit="1" customWidth="1"/>
    <col min="519" max="519" width="21.140625" style="229" customWidth="1"/>
    <col min="520" max="520" width="22.85546875" style="229" customWidth="1"/>
    <col min="521" max="521" width="33.140625" style="229" customWidth="1"/>
    <col min="522" max="524" width="9.140625" style="229"/>
    <col min="525" max="525" width="46.28515625" style="229" customWidth="1"/>
    <col min="526" max="768" width="9.140625" style="229"/>
    <col min="769" max="772" width="5.140625" style="229" customWidth="1"/>
    <col min="773" max="773" width="86.85546875" style="229" customWidth="1"/>
    <col min="774" max="774" width="13.140625" style="229" bestFit="1" customWidth="1"/>
    <col min="775" max="775" width="21.140625" style="229" customWidth="1"/>
    <col min="776" max="776" width="22.85546875" style="229" customWidth="1"/>
    <col min="777" max="777" width="33.140625" style="229" customWidth="1"/>
    <col min="778" max="780" width="9.140625" style="229"/>
    <col min="781" max="781" width="46.28515625" style="229" customWidth="1"/>
    <col min="782" max="1024" width="9.140625" style="229"/>
    <col min="1025" max="1028" width="5.140625" style="229" customWidth="1"/>
    <col min="1029" max="1029" width="86.85546875" style="229" customWidth="1"/>
    <col min="1030" max="1030" width="13.140625" style="229" bestFit="1" customWidth="1"/>
    <col min="1031" max="1031" width="21.140625" style="229" customWidth="1"/>
    <col min="1032" max="1032" width="22.85546875" style="229" customWidth="1"/>
    <col min="1033" max="1033" width="33.140625" style="229" customWidth="1"/>
    <col min="1034" max="1036" width="9.140625" style="229"/>
    <col min="1037" max="1037" width="46.28515625" style="229" customWidth="1"/>
    <col min="1038" max="1280" width="9.140625" style="229"/>
    <col min="1281" max="1284" width="5.140625" style="229" customWidth="1"/>
    <col min="1285" max="1285" width="86.85546875" style="229" customWidth="1"/>
    <col min="1286" max="1286" width="13.140625" style="229" bestFit="1" customWidth="1"/>
    <col min="1287" max="1287" width="21.140625" style="229" customWidth="1"/>
    <col min="1288" max="1288" width="22.85546875" style="229" customWidth="1"/>
    <col min="1289" max="1289" width="33.140625" style="229" customWidth="1"/>
    <col min="1290" max="1292" width="9.140625" style="229"/>
    <col min="1293" max="1293" width="46.28515625" style="229" customWidth="1"/>
    <col min="1294" max="1536" width="9.140625" style="229"/>
    <col min="1537" max="1540" width="5.140625" style="229" customWidth="1"/>
    <col min="1541" max="1541" width="86.85546875" style="229" customWidth="1"/>
    <col min="1542" max="1542" width="13.140625" style="229" bestFit="1" customWidth="1"/>
    <col min="1543" max="1543" width="21.140625" style="229" customWidth="1"/>
    <col min="1544" max="1544" width="22.85546875" style="229" customWidth="1"/>
    <col min="1545" max="1545" width="33.140625" style="229" customWidth="1"/>
    <col min="1546" max="1548" width="9.140625" style="229"/>
    <col min="1549" max="1549" width="46.28515625" style="229" customWidth="1"/>
    <col min="1550" max="1792" width="9.140625" style="229"/>
    <col min="1793" max="1796" width="5.140625" style="229" customWidth="1"/>
    <col min="1797" max="1797" width="86.85546875" style="229" customWidth="1"/>
    <col min="1798" max="1798" width="13.140625" style="229" bestFit="1" customWidth="1"/>
    <col min="1799" max="1799" width="21.140625" style="229" customWidth="1"/>
    <col min="1800" max="1800" width="22.85546875" style="229" customWidth="1"/>
    <col min="1801" max="1801" width="33.140625" style="229" customWidth="1"/>
    <col min="1802" max="1804" width="9.140625" style="229"/>
    <col min="1805" max="1805" width="46.28515625" style="229" customWidth="1"/>
    <col min="1806" max="2048" width="9.140625" style="229"/>
    <col min="2049" max="2052" width="5.140625" style="229" customWidth="1"/>
    <col min="2053" max="2053" width="86.85546875" style="229" customWidth="1"/>
    <col min="2054" max="2054" width="13.140625" style="229" bestFit="1" customWidth="1"/>
    <col min="2055" max="2055" width="21.140625" style="229" customWidth="1"/>
    <col min="2056" max="2056" width="22.85546875" style="229" customWidth="1"/>
    <col min="2057" max="2057" width="33.140625" style="229" customWidth="1"/>
    <col min="2058" max="2060" width="9.140625" style="229"/>
    <col min="2061" max="2061" width="46.28515625" style="229" customWidth="1"/>
    <col min="2062" max="2304" width="9.140625" style="229"/>
    <col min="2305" max="2308" width="5.140625" style="229" customWidth="1"/>
    <col min="2309" max="2309" width="86.85546875" style="229" customWidth="1"/>
    <col min="2310" max="2310" width="13.140625" style="229" bestFit="1" customWidth="1"/>
    <col min="2311" max="2311" width="21.140625" style="229" customWidth="1"/>
    <col min="2312" max="2312" width="22.85546875" style="229" customWidth="1"/>
    <col min="2313" max="2313" width="33.140625" style="229" customWidth="1"/>
    <col min="2314" max="2316" width="9.140625" style="229"/>
    <col min="2317" max="2317" width="46.28515625" style="229" customWidth="1"/>
    <col min="2318" max="2560" width="9.140625" style="229"/>
    <col min="2561" max="2564" width="5.140625" style="229" customWidth="1"/>
    <col min="2565" max="2565" width="86.85546875" style="229" customWidth="1"/>
    <col min="2566" max="2566" width="13.140625" style="229" bestFit="1" customWidth="1"/>
    <col min="2567" max="2567" width="21.140625" style="229" customWidth="1"/>
    <col min="2568" max="2568" width="22.85546875" style="229" customWidth="1"/>
    <col min="2569" max="2569" width="33.140625" style="229" customWidth="1"/>
    <col min="2570" max="2572" width="9.140625" style="229"/>
    <col min="2573" max="2573" width="46.28515625" style="229" customWidth="1"/>
    <col min="2574" max="2816" width="9.140625" style="229"/>
    <col min="2817" max="2820" width="5.140625" style="229" customWidth="1"/>
    <col min="2821" max="2821" width="86.85546875" style="229" customWidth="1"/>
    <col min="2822" max="2822" width="13.140625" style="229" bestFit="1" customWidth="1"/>
    <col min="2823" max="2823" width="21.140625" style="229" customWidth="1"/>
    <col min="2824" max="2824" width="22.85546875" style="229" customWidth="1"/>
    <col min="2825" max="2825" width="33.140625" style="229" customWidth="1"/>
    <col min="2826" max="2828" width="9.140625" style="229"/>
    <col min="2829" max="2829" width="46.28515625" style="229" customWidth="1"/>
    <col min="2830" max="3072" width="9.140625" style="229"/>
    <col min="3073" max="3076" width="5.140625" style="229" customWidth="1"/>
    <col min="3077" max="3077" width="86.85546875" style="229" customWidth="1"/>
    <col min="3078" max="3078" width="13.140625" style="229" bestFit="1" customWidth="1"/>
    <col min="3079" max="3079" width="21.140625" style="229" customWidth="1"/>
    <col min="3080" max="3080" width="22.85546875" style="229" customWidth="1"/>
    <col min="3081" max="3081" width="33.140625" style="229" customWidth="1"/>
    <col min="3082" max="3084" width="9.140625" style="229"/>
    <col min="3085" max="3085" width="46.28515625" style="229" customWidth="1"/>
    <col min="3086" max="3328" width="9.140625" style="229"/>
    <col min="3329" max="3332" width="5.140625" style="229" customWidth="1"/>
    <col min="3333" max="3333" width="86.85546875" style="229" customWidth="1"/>
    <col min="3334" max="3334" width="13.140625" style="229" bestFit="1" customWidth="1"/>
    <col min="3335" max="3335" width="21.140625" style="229" customWidth="1"/>
    <col min="3336" max="3336" width="22.85546875" style="229" customWidth="1"/>
    <col min="3337" max="3337" width="33.140625" style="229" customWidth="1"/>
    <col min="3338" max="3340" width="9.140625" style="229"/>
    <col min="3341" max="3341" width="46.28515625" style="229" customWidth="1"/>
    <col min="3342" max="3584" width="9.140625" style="229"/>
    <col min="3585" max="3588" width="5.140625" style="229" customWidth="1"/>
    <col min="3589" max="3589" width="86.85546875" style="229" customWidth="1"/>
    <col min="3590" max="3590" width="13.140625" style="229" bestFit="1" customWidth="1"/>
    <col min="3591" max="3591" width="21.140625" style="229" customWidth="1"/>
    <col min="3592" max="3592" width="22.85546875" style="229" customWidth="1"/>
    <col min="3593" max="3593" width="33.140625" style="229" customWidth="1"/>
    <col min="3594" max="3596" width="9.140625" style="229"/>
    <col min="3597" max="3597" width="46.28515625" style="229" customWidth="1"/>
    <col min="3598" max="3840" width="9.140625" style="229"/>
    <col min="3841" max="3844" width="5.140625" style="229" customWidth="1"/>
    <col min="3845" max="3845" width="86.85546875" style="229" customWidth="1"/>
    <col min="3846" max="3846" width="13.140625" style="229" bestFit="1" customWidth="1"/>
    <col min="3847" max="3847" width="21.140625" style="229" customWidth="1"/>
    <col min="3848" max="3848" width="22.85546875" style="229" customWidth="1"/>
    <col min="3849" max="3849" width="33.140625" style="229" customWidth="1"/>
    <col min="3850" max="3852" width="9.140625" style="229"/>
    <col min="3853" max="3853" width="46.28515625" style="229" customWidth="1"/>
    <col min="3854" max="4096" width="9.140625" style="229"/>
    <col min="4097" max="4100" width="5.140625" style="229" customWidth="1"/>
    <col min="4101" max="4101" width="86.85546875" style="229" customWidth="1"/>
    <col min="4102" max="4102" width="13.140625" style="229" bestFit="1" customWidth="1"/>
    <col min="4103" max="4103" width="21.140625" style="229" customWidth="1"/>
    <col min="4104" max="4104" width="22.85546875" style="229" customWidth="1"/>
    <col min="4105" max="4105" width="33.140625" style="229" customWidth="1"/>
    <col min="4106" max="4108" width="9.140625" style="229"/>
    <col min="4109" max="4109" width="46.28515625" style="229" customWidth="1"/>
    <col min="4110" max="4352" width="9.140625" style="229"/>
    <col min="4353" max="4356" width="5.140625" style="229" customWidth="1"/>
    <col min="4357" max="4357" width="86.85546875" style="229" customWidth="1"/>
    <col min="4358" max="4358" width="13.140625" style="229" bestFit="1" customWidth="1"/>
    <col min="4359" max="4359" width="21.140625" style="229" customWidth="1"/>
    <col min="4360" max="4360" width="22.85546875" style="229" customWidth="1"/>
    <col min="4361" max="4361" width="33.140625" style="229" customWidth="1"/>
    <col min="4362" max="4364" width="9.140625" style="229"/>
    <col min="4365" max="4365" width="46.28515625" style="229" customWidth="1"/>
    <col min="4366" max="4608" width="9.140625" style="229"/>
    <col min="4609" max="4612" width="5.140625" style="229" customWidth="1"/>
    <col min="4613" max="4613" width="86.85546875" style="229" customWidth="1"/>
    <col min="4614" max="4614" width="13.140625" style="229" bestFit="1" customWidth="1"/>
    <col min="4615" max="4615" width="21.140625" style="229" customWidth="1"/>
    <col min="4616" max="4616" width="22.85546875" style="229" customWidth="1"/>
    <col min="4617" max="4617" width="33.140625" style="229" customWidth="1"/>
    <col min="4618" max="4620" width="9.140625" style="229"/>
    <col min="4621" max="4621" width="46.28515625" style="229" customWidth="1"/>
    <col min="4622" max="4864" width="9.140625" style="229"/>
    <col min="4865" max="4868" width="5.140625" style="229" customWidth="1"/>
    <col min="4869" max="4869" width="86.85546875" style="229" customWidth="1"/>
    <col min="4870" max="4870" width="13.140625" style="229" bestFit="1" customWidth="1"/>
    <col min="4871" max="4871" width="21.140625" style="229" customWidth="1"/>
    <col min="4872" max="4872" width="22.85546875" style="229" customWidth="1"/>
    <col min="4873" max="4873" width="33.140625" style="229" customWidth="1"/>
    <col min="4874" max="4876" width="9.140625" style="229"/>
    <col min="4877" max="4877" width="46.28515625" style="229" customWidth="1"/>
    <col min="4878" max="5120" width="9.140625" style="229"/>
    <col min="5121" max="5124" width="5.140625" style="229" customWidth="1"/>
    <col min="5125" max="5125" width="86.85546875" style="229" customWidth="1"/>
    <col min="5126" max="5126" width="13.140625" style="229" bestFit="1" customWidth="1"/>
    <col min="5127" max="5127" width="21.140625" style="229" customWidth="1"/>
    <col min="5128" max="5128" width="22.85546875" style="229" customWidth="1"/>
    <col min="5129" max="5129" width="33.140625" style="229" customWidth="1"/>
    <col min="5130" max="5132" width="9.140625" style="229"/>
    <col min="5133" max="5133" width="46.28515625" style="229" customWidth="1"/>
    <col min="5134" max="5376" width="9.140625" style="229"/>
    <col min="5377" max="5380" width="5.140625" style="229" customWidth="1"/>
    <col min="5381" max="5381" width="86.85546875" style="229" customWidth="1"/>
    <col min="5382" max="5382" width="13.140625" style="229" bestFit="1" customWidth="1"/>
    <col min="5383" max="5383" width="21.140625" style="229" customWidth="1"/>
    <col min="5384" max="5384" width="22.85546875" style="229" customWidth="1"/>
    <col min="5385" max="5385" width="33.140625" style="229" customWidth="1"/>
    <col min="5386" max="5388" width="9.140625" style="229"/>
    <col min="5389" max="5389" width="46.28515625" style="229" customWidth="1"/>
    <col min="5390" max="5632" width="9.140625" style="229"/>
    <col min="5633" max="5636" width="5.140625" style="229" customWidth="1"/>
    <col min="5637" max="5637" width="86.85546875" style="229" customWidth="1"/>
    <col min="5638" max="5638" width="13.140625" style="229" bestFit="1" customWidth="1"/>
    <col min="5639" max="5639" width="21.140625" style="229" customWidth="1"/>
    <col min="5640" max="5640" width="22.85546875" style="229" customWidth="1"/>
    <col min="5641" max="5641" width="33.140625" style="229" customWidth="1"/>
    <col min="5642" max="5644" width="9.140625" style="229"/>
    <col min="5645" max="5645" width="46.28515625" style="229" customWidth="1"/>
    <col min="5646" max="5888" width="9.140625" style="229"/>
    <col min="5889" max="5892" width="5.140625" style="229" customWidth="1"/>
    <col min="5893" max="5893" width="86.85546875" style="229" customWidth="1"/>
    <col min="5894" max="5894" width="13.140625" style="229" bestFit="1" customWidth="1"/>
    <col min="5895" max="5895" width="21.140625" style="229" customWidth="1"/>
    <col min="5896" max="5896" width="22.85546875" style="229" customWidth="1"/>
    <col min="5897" max="5897" width="33.140625" style="229" customWidth="1"/>
    <col min="5898" max="5900" width="9.140625" style="229"/>
    <col min="5901" max="5901" width="46.28515625" style="229" customWidth="1"/>
    <col min="5902" max="6144" width="9.140625" style="229"/>
    <col min="6145" max="6148" width="5.140625" style="229" customWidth="1"/>
    <col min="6149" max="6149" width="86.85546875" style="229" customWidth="1"/>
    <col min="6150" max="6150" width="13.140625" style="229" bestFit="1" customWidth="1"/>
    <col min="6151" max="6151" width="21.140625" style="229" customWidth="1"/>
    <col min="6152" max="6152" width="22.85546875" style="229" customWidth="1"/>
    <col min="6153" max="6153" width="33.140625" style="229" customWidth="1"/>
    <col min="6154" max="6156" width="9.140625" style="229"/>
    <col min="6157" max="6157" width="46.28515625" style="229" customWidth="1"/>
    <col min="6158" max="6400" width="9.140625" style="229"/>
    <col min="6401" max="6404" width="5.140625" style="229" customWidth="1"/>
    <col min="6405" max="6405" width="86.85546875" style="229" customWidth="1"/>
    <col min="6406" max="6406" width="13.140625" style="229" bestFit="1" customWidth="1"/>
    <col min="6407" max="6407" width="21.140625" style="229" customWidth="1"/>
    <col min="6408" max="6408" width="22.85546875" style="229" customWidth="1"/>
    <col min="6409" max="6409" width="33.140625" style="229" customWidth="1"/>
    <col min="6410" max="6412" width="9.140625" style="229"/>
    <col min="6413" max="6413" width="46.28515625" style="229" customWidth="1"/>
    <col min="6414" max="6656" width="9.140625" style="229"/>
    <col min="6657" max="6660" width="5.140625" style="229" customWidth="1"/>
    <col min="6661" max="6661" width="86.85546875" style="229" customWidth="1"/>
    <col min="6662" max="6662" width="13.140625" style="229" bestFit="1" customWidth="1"/>
    <col min="6663" max="6663" width="21.140625" style="229" customWidth="1"/>
    <col min="6664" max="6664" width="22.85546875" style="229" customWidth="1"/>
    <col min="6665" max="6665" width="33.140625" style="229" customWidth="1"/>
    <col min="6666" max="6668" width="9.140625" style="229"/>
    <col min="6669" max="6669" width="46.28515625" style="229" customWidth="1"/>
    <col min="6670" max="6912" width="9.140625" style="229"/>
    <col min="6913" max="6916" width="5.140625" style="229" customWidth="1"/>
    <col min="6917" max="6917" width="86.85546875" style="229" customWidth="1"/>
    <col min="6918" max="6918" width="13.140625" style="229" bestFit="1" customWidth="1"/>
    <col min="6919" max="6919" width="21.140625" style="229" customWidth="1"/>
    <col min="6920" max="6920" width="22.85546875" style="229" customWidth="1"/>
    <col min="6921" max="6921" width="33.140625" style="229" customWidth="1"/>
    <col min="6922" max="6924" width="9.140625" style="229"/>
    <col min="6925" max="6925" width="46.28515625" style="229" customWidth="1"/>
    <col min="6926" max="7168" width="9.140625" style="229"/>
    <col min="7169" max="7172" width="5.140625" style="229" customWidth="1"/>
    <col min="7173" max="7173" width="86.85546875" style="229" customWidth="1"/>
    <col min="7174" max="7174" width="13.140625" style="229" bestFit="1" customWidth="1"/>
    <col min="7175" max="7175" width="21.140625" style="229" customWidth="1"/>
    <col min="7176" max="7176" width="22.85546875" style="229" customWidth="1"/>
    <col min="7177" max="7177" width="33.140625" style="229" customWidth="1"/>
    <col min="7178" max="7180" width="9.140625" style="229"/>
    <col min="7181" max="7181" width="46.28515625" style="229" customWidth="1"/>
    <col min="7182" max="7424" width="9.140625" style="229"/>
    <col min="7425" max="7428" width="5.140625" style="229" customWidth="1"/>
    <col min="7429" max="7429" width="86.85546875" style="229" customWidth="1"/>
    <col min="7430" max="7430" width="13.140625" style="229" bestFit="1" customWidth="1"/>
    <col min="7431" max="7431" width="21.140625" style="229" customWidth="1"/>
    <col min="7432" max="7432" width="22.85546875" style="229" customWidth="1"/>
    <col min="7433" max="7433" width="33.140625" style="229" customWidth="1"/>
    <col min="7434" max="7436" width="9.140625" style="229"/>
    <col min="7437" max="7437" width="46.28515625" style="229" customWidth="1"/>
    <col min="7438" max="7680" width="9.140625" style="229"/>
    <col min="7681" max="7684" width="5.140625" style="229" customWidth="1"/>
    <col min="7685" max="7685" width="86.85546875" style="229" customWidth="1"/>
    <col min="7686" max="7686" width="13.140625" style="229" bestFit="1" customWidth="1"/>
    <col min="7687" max="7687" width="21.140625" style="229" customWidth="1"/>
    <col min="7688" max="7688" width="22.85546875" style="229" customWidth="1"/>
    <col min="7689" max="7689" width="33.140625" style="229" customWidth="1"/>
    <col min="7690" max="7692" width="9.140625" style="229"/>
    <col min="7693" max="7693" width="46.28515625" style="229" customWidth="1"/>
    <col min="7694" max="7936" width="9.140625" style="229"/>
    <col min="7937" max="7940" width="5.140625" style="229" customWidth="1"/>
    <col min="7941" max="7941" width="86.85546875" style="229" customWidth="1"/>
    <col min="7942" max="7942" width="13.140625" style="229" bestFit="1" customWidth="1"/>
    <col min="7943" max="7943" width="21.140625" style="229" customWidth="1"/>
    <col min="7944" max="7944" width="22.85546875" style="229" customWidth="1"/>
    <col min="7945" max="7945" width="33.140625" style="229" customWidth="1"/>
    <col min="7946" max="7948" width="9.140625" style="229"/>
    <col min="7949" max="7949" width="46.28515625" style="229" customWidth="1"/>
    <col min="7950" max="8192" width="9.140625" style="229"/>
    <col min="8193" max="8196" width="5.140625" style="229" customWidth="1"/>
    <col min="8197" max="8197" width="86.85546875" style="229" customWidth="1"/>
    <col min="8198" max="8198" width="13.140625" style="229" bestFit="1" customWidth="1"/>
    <col min="8199" max="8199" width="21.140625" style="229" customWidth="1"/>
    <col min="8200" max="8200" width="22.85546875" style="229" customWidth="1"/>
    <col min="8201" max="8201" width="33.140625" style="229" customWidth="1"/>
    <col min="8202" max="8204" width="9.140625" style="229"/>
    <col min="8205" max="8205" width="46.28515625" style="229" customWidth="1"/>
    <col min="8206" max="8448" width="9.140625" style="229"/>
    <col min="8449" max="8452" width="5.140625" style="229" customWidth="1"/>
    <col min="8453" max="8453" width="86.85546875" style="229" customWidth="1"/>
    <col min="8454" max="8454" width="13.140625" style="229" bestFit="1" customWidth="1"/>
    <col min="8455" max="8455" width="21.140625" style="229" customWidth="1"/>
    <col min="8456" max="8456" width="22.85546875" style="229" customWidth="1"/>
    <col min="8457" max="8457" width="33.140625" style="229" customWidth="1"/>
    <col min="8458" max="8460" width="9.140625" style="229"/>
    <col min="8461" max="8461" width="46.28515625" style="229" customWidth="1"/>
    <col min="8462" max="8704" width="9.140625" style="229"/>
    <col min="8705" max="8708" width="5.140625" style="229" customWidth="1"/>
    <col min="8709" max="8709" width="86.85546875" style="229" customWidth="1"/>
    <col min="8710" max="8710" width="13.140625" style="229" bestFit="1" customWidth="1"/>
    <col min="8711" max="8711" width="21.140625" style="229" customWidth="1"/>
    <col min="8712" max="8712" width="22.85546875" style="229" customWidth="1"/>
    <col min="8713" max="8713" width="33.140625" style="229" customWidth="1"/>
    <col min="8714" max="8716" width="9.140625" style="229"/>
    <col min="8717" max="8717" width="46.28515625" style="229" customWidth="1"/>
    <col min="8718" max="8960" width="9.140625" style="229"/>
    <col min="8961" max="8964" width="5.140625" style="229" customWidth="1"/>
    <col min="8965" max="8965" width="86.85546875" style="229" customWidth="1"/>
    <col min="8966" max="8966" width="13.140625" style="229" bestFit="1" customWidth="1"/>
    <col min="8967" max="8967" width="21.140625" style="229" customWidth="1"/>
    <col min="8968" max="8968" width="22.85546875" style="229" customWidth="1"/>
    <col min="8969" max="8969" width="33.140625" style="229" customWidth="1"/>
    <col min="8970" max="8972" width="9.140625" style="229"/>
    <col min="8973" max="8973" width="46.28515625" style="229" customWidth="1"/>
    <col min="8974" max="9216" width="9.140625" style="229"/>
    <col min="9217" max="9220" width="5.140625" style="229" customWidth="1"/>
    <col min="9221" max="9221" width="86.85546875" style="229" customWidth="1"/>
    <col min="9222" max="9222" width="13.140625" style="229" bestFit="1" customWidth="1"/>
    <col min="9223" max="9223" width="21.140625" style="229" customWidth="1"/>
    <col min="9224" max="9224" width="22.85546875" style="229" customWidth="1"/>
    <col min="9225" max="9225" width="33.140625" style="229" customWidth="1"/>
    <col min="9226" max="9228" width="9.140625" style="229"/>
    <col min="9229" max="9229" width="46.28515625" style="229" customWidth="1"/>
    <col min="9230" max="9472" width="9.140625" style="229"/>
    <col min="9473" max="9476" width="5.140625" style="229" customWidth="1"/>
    <col min="9477" max="9477" width="86.85546875" style="229" customWidth="1"/>
    <col min="9478" max="9478" width="13.140625" style="229" bestFit="1" customWidth="1"/>
    <col min="9479" max="9479" width="21.140625" style="229" customWidth="1"/>
    <col min="9480" max="9480" width="22.85546875" style="229" customWidth="1"/>
    <col min="9481" max="9481" width="33.140625" style="229" customWidth="1"/>
    <col min="9482" max="9484" width="9.140625" style="229"/>
    <col min="9485" max="9485" width="46.28515625" style="229" customWidth="1"/>
    <col min="9486" max="9728" width="9.140625" style="229"/>
    <col min="9729" max="9732" width="5.140625" style="229" customWidth="1"/>
    <col min="9733" max="9733" width="86.85546875" style="229" customWidth="1"/>
    <col min="9734" max="9734" width="13.140625" style="229" bestFit="1" customWidth="1"/>
    <col min="9735" max="9735" width="21.140625" style="229" customWidth="1"/>
    <col min="9736" max="9736" width="22.85546875" style="229" customWidth="1"/>
    <col min="9737" max="9737" width="33.140625" style="229" customWidth="1"/>
    <col min="9738" max="9740" width="9.140625" style="229"/>
    <col min="9741" max="9741" width="46.28515625" style="229" customWidth="1"/>
    <col min="9742" max="9984" width="9.140625" style="229"/>
    <col min="9985" max="9988" width="5.140625" style="229" customWidth="1"/>
    <col min="9989" max="9989" width="86.85546875" style="229" customWidth="1"/>
    <col min="9990" max="9990" width="13.140625" style="229" bestFit="1" customWidth="1"/>
    <col min="9991" max="9991" width="21.140625" style="229" customWidth="1"/>
    <col min="9992" max="9992" width="22.85546875" style="229" customWidth="1"/>
    <col min="9993" max="9993" width="33.140625" style="229" customWidth="1"/>
    <col min="9994" max="9996" width="9.140625" style="229"/>
    <col min="9997" max="9997" width="46.28515625" style="229" customWidth="1"/>
    <col min="9998" max="10240" width="9.140625" style="229"/>
    <col min="10241" max="10244" width="5.140625" style="229" customWidth="1"/>
    <col min="10245" max="10245" width="86.85546875" style="229" customWidth="1"/>
    <col min="10246" max="10246" width="13.140625" style="229" bestFit="1" customWidth="1"/>
    <col min="10247" max="10247" width="21.140625" style="229" customWidth="1"/>
    <col min="10248" max="10248" width="22.85546875" style="229" customWidth="1"/>
    <col min="10249" max="10249" width="33.140625" style="229" customWidth="1"/>
    <col min="10250" max="10252" width="9.140625" style="229"/>
    <col min="10253" max="10253" width="46.28515625" style="229" customWidth="1"/>
    <col min="10254" max="10496" width="9.140625" style="229"/>
    <col min="10497" max="10500" width="5.140625" style="229" customWidth="1"/>
    <col min="10501" max="10501" width="86.85546875" style="229" customWidth="1"/>
    <col min="10502" max="10502" width="13.140625" style="229" bestFit="1" customWidth="1"/>
    <col min="10503" max="10503" width="21.140625" style="229" customWidth="1"/>
    <col min="10504" max="10504" width="22.85546875" style="229" customWidth="1"/>
    <col min="10505" max="10505" width="33.140625" style="229" customWidth="1"/>
    <col min="10506" max="10508" width="9.140625" style="229"/>
    <col min="10509" max="10509" width="46.28515625" style="229" customWidth="1"/>
    <col min="10510" max="10752" width="9.140625" style="229"/>
    <col min="10753" max="10756" width="5.140625" style="229" customWidth="1"/>
    <col min="10757" max="10757" width="86.85546875" style="229" customWidth="1"/>
    <col min="10758" max="10758" width="13.140625" style="229" bestFit="1" customWidth="1"/>
    <col min="10759" max="10759" width="21.140625" style="229" customWidth="1"/>
    <col min="10760" max="10760" width="22.85546875" style="229" customWidth="1"/>
    <col min="10761" max="10761" width="33.140625" style="229" customWidth="1"/>
    <col min="10762" max="10764" width="9.140625" style="229"/>
    <col min="10765" max="10765" width="46.28515625" style="229" customWidth="1"/>
    <col min="10766" max="11008" width="9.140625" style="229"/>
    <col min="11009" max="11012" width="5.140625" style="229" customWidth="1"/>
    <col min="11013" max="11013" width="86.85546875" style="229" customWidth="1"/>
    <col min="11014" max="11014" width="13.140625" style="229" bestFit="1" customWidth="1"/>
    <col min="11015" max="11015" width="21.140625" style="229" customWidth="1"/>
    <col min="11016" max="11016" width="22.85546875" style="229" customWidth="1"/>
    <col min="11017" max="11017" width="33.140625" style="229" customWidth="1"/>
    <col min="11018" max="11020" width="9.140625" style="229"/>
    <col min="11021" max="11021" width="46.28515625" style="229" customWidth="1"/>
    <col min="11022" max="11264" width="9.140625" style="229"/>
    <col min="11265" max="11268" width="5.140625" style="229" customWidth="1"/>
    <col min="11269" max="11269" width="86.85546875" style="229" customWidth="1"/>
    <col min="11270" max="11270" width="13.140625" style="229" bestFit="1" customWidth="1"/>
    <col min="11271" max="11271" width="21.140625" style="229" customWidth="1"/>
    <col min="11272" max="11272" width="22.85546875" style="229" customWidth="1"/>
    <col min="11273" max="11273" width="33.140625" style="229" customWidth="1"/>
    <col min="11274" max="11276" width="9.140625" style="229"/>
    <col min="11277" max="11277" width="46.28515625" style="229" customWidth="1"/>
    <col min="11278" max="11520" width="9.140625" style="229"/>
    <col min="11521" max="11524" width="5.140625" style="229" customWidth="1"/>
    <col min="11525" max="11525" width="86.85546875" style="229" customWidth="1"/>
    <col min="11526" max="11526" width="13.140625" style="229" bestFit="1" customWidth="1"/>
    <col min="11527" max="11527" width="21.140625" style="229" customWidth="1"/>
    <col min="11528" max="11528" width="22.85546875" style="229" customWidth="1"/>
    <col min="11529" max="11529" width="33.140625" style="229" customWidth="1"/>
    <col min="11530" max="11532" width="9.140625" style="229"/>
    <col min="11533" max="11533" width="46.28515625" style="229" customWidth="1"/>
    <col min="11534" max="11776" width="9.140625" style="229"/>
    <col min="11777" max="11780" width="5.140625" style="229" customWidth="1"/>
    <col min="11781" max="11781" width="86.85546875" style="229" customWidth="1"/>
    <col min="11782" max="11782" width="13.140625" style="229" bestFit="1" customWidth="1"/>
    <col min="11783" max="11783" width="21.140625" style="229" customWidth="1"/>
    <col min="11784" max="11784" width="22.85546875" style="229" customWidth="1"/>
    <col min="11785" max="11785" width="33.140625" style="229" customWidth="1"/>
    <col min="11786" max="11788" width="9.140625" style="229"/>
    <col min="11789" max="11789" width="46.28515625" style="229" customWidth="1"/>
    <col min="11790" max="12032" width="9.140625" style="229"/>
    <col min="12033" max="12036" width="5.140625" style="229" customWidth="1"/>
    <col min="12037" max="12037" width="86.85546875" style="229" customWidth="1"/>
    <col min="12038" max="12038" width="13.140625" style="229" bestFit="1" customWidth="1"/>
    <col min="12039" max="12039" width="21.140625" style="229" customWidth="1"/>
    <col min="12040" max="12040" width="22.85546875" style="229" customWidth="1"/>
    <col min="12041" max="12041" width="33.140625" style="229" customWidth="1"/>
    <col min="12042" max="12044" width="9.140625" style="229"/>
    <col min="12045" max="12045" width="46.28515625" style="229" customWidth="1"/>
    <col min="12046" max="12288" width="9.140625" style="229"/>
    <col min="12289" max="12292" width="5.140625" style="229" customWidth="1"/>
    <col min="12293" max="12293" width="86.85546875" style="229" customWidth="1"/>
    <col min="12294" max="12294" width="13.140625" style="229" bestFit="1" customWidth="1"/>
    <col min="12295" max="12295" width="21.140625" style="229" customWidth="1"/>
    <col min="12296" max="12296" width="22.85546875" style="229" customWidth="1"/>
    <col min="12297" max="12297" width="33.140625" style="229" customWidth="1"/>
    <col min="12298" max="12300" width="9.140625" style="229"/>
    <col min="12301" max="12301" width="46.28515625" style="229" customWidth="1"/>
    <col min="12302" max="12544" width="9.140625" style="229"/>
    <col min="12545" max="12548" width="5.140625" style="229" customWidth="1"/>
    <col min="12549" max="12549" width="86.85546875" style="229" customWidth="1"/>
    <col min="12550" max="12550" width="13.140625" style="229" bestFit="1" customWidth="1"/>
    <col min="12551" max="12551" width="21.140625" style="229" customWidth="1"/>
    <col min="12552" max="12552" width="22.85546875" style="229" customWidth="1"/>
    <col min="12553" max="12553" width="33.140625" style="229" customWidth="1"/>
    <col min="12554" max="12556" width="9.140625" style="229"/>
    <col min="12557" max="12557" width="46.28515625" style="229" customWidth="1"/>
    <col min="12558" max="12800" width="9.140625" style="229"/>
    <col min="12801" max="12804" width="5.140625" style="229" customWidth="1"/>
    <col min="12805" max="12805" width="86.85546875" style="229" customWidth="1"/>
    <col min="12806" max="12806" width="13.140625" style="229" bestFit="1" customWidth="1"/>
    <col min="12807" max="12807" width="21.140625" style="229" customWidth="1"/>
    <col min="12808" max="12808" width="22.85546875" style="229" customWidth="1"/>
    <col min="12809" max="12809" width="33.140625" style="229" customWidth="1"/>
    <col min="12810" max="12812" width="9.140625" style="229"/>
    <col min="12813" max="12813" width="46.28515625" style="229" customWidth="1"/>
    <col min="12814" max="13056" width="9.140625" style="229"/>
    <col min="13057" max="13060" width="5.140625" style="229" customWidth="1"/>
    <col min="13061" max="13061" width="86.85546875" style="229" customWidth="1"/>
    <col min="13062" max="13062" width="13.140625" style="229" bestFit="1" customWidth="1"/>
    <col min="13063" max="13063" width="21.140625" style="229" customWidth="1"/>
    <col min="13064" max="13064" width="22.85546875" style="229" customWidth="1"/>
    <col min="13065" max="13065" width="33.140625" style="229" customWidth="1"/>
    <col min="13066" max="13068" width="9.140625" style="229"/>
    <col min="13069" max="13069" width="46.28515625" style="229" customWidth="1"/>
    <col min="13070" max="13312" width="9.140625" style="229"/>
    <col min="13313" max="13316" width="5.140625" style="229" customWidth="1"/>
    <col min="13317" max="13317" width="86.85546875" style="229" customWidth="1"/>
    <col min="13318" max="13318" width="13.140625" style="229" bestFit="1" customWidth="1"/>
    <col min="13319" max="13319" width="21.140625" style="229" customWidth="1"/>
    <col min="13320" max="13320" width="22.85546875" style="229" customWidth="1"/>
    <col min="13321" max="13321" width="33.140625" style="229" customWidth="1"/>
    <col min="13322" max="13324" width="9.140625" style="229"/>
    <col min="13325" max="13325" width="46.28515625" style="229" customWidth="1"/>
    <col min="13326" max="13568" width="9.140625" style="229"/>
    <col min="13569" max="13572" width="5.140625" style="229" customWidth="1"/>
    <col min="13573" max="13573" width="86.85546875" style="229" customWidth="1"/>
    <col min="13574" max="13574" width="13.140625" style="229" bestFit="1" customWidth="1"/>
    <col min="13575" max="13575" width="21.140625" style="229" customWidth="1"/>
    <col min="13576" max="13576" width="22.85546875" style="229" customWidth="1"/>
    <col min="13577" max="13577" width="33.140625" style="229" customWidth="1"/>
    <col min="13578" max="13580" width="9.140625" style="229"/>
    <col min="13581" max="13581" width="46.28515625" style="229" customWidth="1"/>
    <col min="13582" max="13824" width="9.140625" style="229"/>
    <col min="13825" max="13828" width="5.140625" style="229" customWidth="1"/>
    <col min="13829" max="13829" width="86.85546875" style="229" customWidth="1"/>
    <col min="13830" max="13830" width="13.140625" style="229" bestFit="1" customWidth="1"/>
    <col min="13831" max="13831" width="21.140625" style="229" customWidth="1"/>
    <col min="13832" max="13832" width="22.85546875" style="229" customWidth="1"/>
    <col min="13833" max="13833" width="33.140625" style="229" customWidth="1"/>
    <col min="13834" max="13836" width="9.140625" style="229"/>
    <col min="13837" max="13837" width="46.28515625" style="229" customWidth="1"/>
    <col min="13838" max="14080" width="9.140625" style="229"/>
    <col min="14081" max="14084" width="5.140625" style="229" customWidth="1"/>
    <col min="14085" max="14085" width="86.85546875" style="229" customWidth="1"/>
    <col min="14086" max="14086" width="13.140625" style="229" bestFit="1" customWidth="1"/>
    <col min="14087" max="14087" width="21.140625" style="229" customWidth="1"/>
    <col min="14088" max="14088" width="22.85546875" style="229" customWidth="1"/>
    <col min="14089" max="14089" width="33.140625" style="229" customWidth="1"/>
    <col min="14090" max="14092" width="9.140625" style="229"/>
    <col min="14093" max="14093" width="46.28515625" style="229" customWidth="1"/>
    <col min="14094" max="14336" width="9.140625" style="229"/>
    <col min="14337" max="14340" width="5.140625" style="229" customWidth="1"/>
    <col min="14341" max="14341" width="86.85546875" style="229" customWidth="1"/>
    <col min="14342" max="14342" width="13.140625" style="229" bestFit="1" customWidth="1"/>
    <col min="14343" max="14343" width="21.140625" style="229" customWidth="1"/>
    <col min="14344" max="14344" width="22.85546875" style="229" customWidth="1"/>
    <col min="14345" max="14345" width="33.140625" style="229" customWidth="1"/>
    <col min="14346" max="14348" width="9.140625" style="229"/>
    <col min="14349" max="14349" width="46.28515625" style="229" customWidth="1"/>
    <col min="14350" max="14592" width="9.140625" style="229"/>
    <col min="14593" max="14596" width="5.140625" style="229" customWidth="1"/>
    <col min="14597" max="14597" width="86.85546875" style="229" customWidth="1"/>
    <col min="14598" max="14598" width="13.140625" style="229" bestFit="1" customWidth="1"/>
    <col min="14599" max="14599" width="21.140625" style="229" customWidth="1"/>
    <col min="14600" max="14600" width="22.85546875" style="229" customWidth="1"/>
    <col min="14601" max="14601" width="33.140625" style="229" customWidth="1"/>
    <col min="14602" max="14604" width="9.140625" style="229"/>
    <col min="14605" max="14605" width="46.28515625" style="229" customWidth="1"/>
    <col min="14606" max="14848" width="9.140625" style="229"/>
    <col min="14849" max="14852" width="5.140625" style="229" customWidth="1"/>
    <col min="14853" max="14853" width="86.85546875" style="229" customWidth="1"/>
    <col min="14854" max="14854" width="13.140625" style="229" bestFit="1" customWidth="1"/>
    <col min="14855" max="14855" width="21.140625" style="229" customWidth="1"/>
    <col min="14856" max="14856" width="22.85546875" style="229" customWidth="1"/>
    <col min="14857" max="14857" width="33.140625" style="229" customWidth="1"/>
    <col min="14858" max="14860" width="9.140625" style="229"/>
    <col min="14861" max="14861" width="46.28515625" style="229" customWidth="1"/>
    <col min="14862" max="15104" width="9.140625" style="229"/>
    <col min="15105" max="15108" width="5.140625" style="229" customWidth="1"/>
    <col min="15109" max="15109" width="86.85546875" style="229" customWidth="1"/>
    <col min="15110" max="15110" width="13.140625" style="229" bestFit="1" customWidth="1"/>
    <col min="15111" max="15111" width="21.140625" style="229" customWidth="1"/>
    <col min="15112" max="15112" width="22.85546875" style="229" customWidth="1"/>
    <col min="15113" max="15113" width="33.140625" style="229" customWidth="1"/>
    <col min="15114" max="15116" width="9.140625" style="229"/>
    <col min="15117" max="15117" width="46.28515625" style="229" customWidth="1"/>
    <col min="15118" max="15360" width="9.140625" style="229"/>
    <col min="15361" max="15364" width="5.140625" style="229" customWidth="1"/>
    <col min="15365" max="15365" width="86.85546875" style="229" customWidth="1"/>
    <col min="15366" max="15366" width="13.140625" style="229" bestFit="1" customWidth="1"/>
    <col min="15367" max="15367" width="21.140625" style="229" customWidth="1"/>
    <col min="15368" max="15368" width="22.85546875" style="229" customWidth="1"/>
    <col min="15369" max="15369" width="33.140625" style="229" customWidth="1"/>
    <col min="15370" max="15372" width="9.140625" style="229"/>
    <col min="15373" max="15373" width="46.28515625" style="229" customWidth="1"/>
    <col min="15374" max="15616" width="9.140625" style="229"/>
    <col min="15617" max="15620" width="5.140625" style="229" customWidth="1"/>
    <col min="15621" max="15621" width="86.85546875" style="229" customWidth="1"/>
    <col min="15622" max="15622" width="13.140625" style="229" bestFit="1" customWidth="1"/>
    <col min="15623" max="15623" width="21.140625" style="229" customWidth="1"/>
    <col min="15624" max="15624" width="22.85546875" style="229" customWidth="1"/>
    <col min="15625" max="15625" width="33.140625" style="229" customWidth="1"/>
    <col min="15626" max="15628" width="9.140625" style="229"/>
    <col min="15629" max="15629" width="46.28515625" style="229" customWidth="1"/>
    <col min="15630" max="15872" width="9.140625" style="229"/>
    <col min="15873" max="15876" width="5.140625" style="229" customWidth="1"/>
    <col min="15877" max="15877" width="86.85546875" style="229" customWidth="1"/>
    <col min="15878" max="15878" width="13.140625" style="229" bestFit="1" customWidth="1"/>
    <col min="15879" max="15879" width="21.140625" style="229" customWidth="1"/>
    <col min="15880" max="15880" width="22.85546875" style="229" customWidth="1"/>
    <col min="15881" max="15881" width="33.140625" style="229" customWidth="1"/>
    <col min="15882" max="15884" width="9.140625" style="229"/>
    <col min="15885" max="15885" width="46.28515625" style="229" customWidth="1"/>
    <col min="15886" max="16128" width="9.140625" style="229"/>
    <col min="16129" max="16132" width="5.140625" style="229" customWidth="1"/>
    <col min="16133" max="16133" width="86.85546875" style="229" customWidth="1"/>
    <col min="16134" max="16134" width="13.140625" style="229" bestFit="1" customWidth="1"/>
    <col min="16135" max="16135" width="21.140625" style="229" customWidth="1"/>
    <col min="16136" max="16136" width="22.85546875" style="229" customWidth="1"/>
    <col min="16137" max="16137" width="33.140625" style="229" customWidth="1"/>
    <col min="16138" max="16140" width="9.140625" style="229"/>
    <col min="16141" max="16141" width="46.28515625" style="229" customWidth="1"/>
    <col min="16142" max="16384" width="9.140625" style="229"/>
  </cols>
  <sheetData>
    <row r="1" spans="1:9" s="317" customFormat="1" ht="29.25" customHeight="1">
      <c r="A1" s="706" t="s">
        <v>1009</v>
      </c>
      <c r="B1" s="706"/>
      <c r="C1" s="706"/>
      <c r="D1" s="706"/>
      <c r="E1" s="706"/>
      <c r="F1" s="706"/>
      <c r="G1" s="706"/>
      <c r="H1" s="706"/>
      <c r="I1" s="706"/>
    </row>
    <row r="2" spans="1:9" s="317" customFormat="1" ht="29.25" customHeight="1">
      <c r="A2" s="706" t="s">
        <v>1007</v>
      </c>
      <c r="B2" s="706"/>
      <c r="C2" s="706"/>
      <c r="D2" s="706"/>
      <c r="E2" s="706"/>
      <c r="F2" s="706"/>
      <c r="G2" s="706"/>
      <c r="H2" s="706"/>
      <c r="I2" s="706"/>
    </row>
    <row r="3" spans="1:9" s="215" customFormat="1" ht="24" customHeight="1">
      <c r="F3" s="216"/>
      <c r="H3" s="217"/>
      <c r="I3" s="217"/>
    </row>
    <row r="4" spans="1:9" s="218" customFormat="1" ht="24" customHeight="1">
      <c r="A4" s="218" t="s">
        <v>339</v>
      </c>
      <c r="E4" s="218" t="s">
        <v>1</v>
      </c>
      <c r="F4" s="219"/>
      <c r="G4" s="220" t="s">
        <v>61</v>
      </c>
      <c r="H4" s="220" t="s">
        <v>62</v>
      </c>
      <c r="I4" s="220" t="s">
        <v>62</v>
      </c>
    </row>
    <row r="5" spans="1:9" s="218" customFormat="1" ht="24" customHeight="1">
      <c r="A5" s="222" t="s">
        <v>340</v>
      </c>
      <c r="B5" s="223"/>
      <c r="C5" s="223"/>
      <c r="D5" s="223"/>
      <c r="E5" s="224" t="s">
        <v>3</v>
      </c>
      <c r="F5" s="225"/>
      <c r="G5" s="226" t="s">
        <v>63</v>
      </c>
      <c r="H5" s="224" t="s">
        <v>64</v>
      </c>
      <c r="I5" s="226" t="s">
        <v>1010</v>
      </c>
    </row>
    <row r="6" spans="1:9" ht="15.75">
      <c r="A6" s="29"/>
      <c r="B6" s="29"/>
      <c r="C6" s="29"/>
      <c r="D6" s="29"/>
      <c r="E6" s="30"/>
      <c r="F6" s="228"/>
      <c r="G6" s="30"/>
      <c r="H6" s="31"/>
      <c r="I6" s="31"/>
    </row>
    <row r="7" spans="1:9" s="230" customFormat="1" ht="29.25" customHeight="1">
      <c r="A7" s="709" t="s">
        <v>301</v>
      </c>
      <c r="B7" s="709"/>
      <c r="C7" s="709"/>
      <c r="D7" s="709"/>
      <c r="E7" s="709" t="s">
        <v>302</v>
      </c>
      <c r="F7" s="715" t="s">
        <v>5</v>
      </c>
      <c r="G7" s="712" t="s">
        <v>303</v>
      </c>
      <c r="H7" s="712" t="s">
        <v>68</v>
      </c>
      <c r="I7" s="712" t="s">
        <v>908</v>
      </c>
    </row>
    <row r="8" spans="1:9" s="230" customFormat="1" ht="24.75" customHeight="1">
      <c r="A8" s="709"/>
      <c r="B8" s="709"/>
      <c r="C8" s="709"/>
      <c r="D8" s="709"/>
      <c r="E8" s="709"/>
      <c r="F8" s="716"/>
      <c r="G8" s="713"/>
      <c r="H8" s="713"/>
      <c r="I8" s="713"/>
    </row>
    <row r="9" spans="1:9" s="230" customFormat="1" ht="15.75">
      <c r="A9" s="704">
        <v>1</v>
      </c>
      <c r="B9" s="704"/>
      <c r="C9" s="704"/>
      <c r="D9" s="704"/>
      <c r="E9" s="346">
        <v>2</v>
      </c>
      <c r="F9" s="232">
        <v>3</v>
      </c>
      <c r="G9" s="346">
        <v>4</v>
      </c>
      <c r="H9" s="346">
        <v>5</v>
      </c>
      <c r="I9" s="346">
        <v>6</v>
      </c>
    </row>
    <row r="10" spans="1:9" s="230" customFormat="1" ht="30" customHeight="1">
      <c r="A10" s="233">
        <v>5</v>
      </c>
      <c r="B10" s="233"/>
      <c r="C10" s="233"/>
      <c r="D10" s="233"/>
      <c r="E10" s="234" t="s">
        <v>909</v>
      </c>
      <c r="F10" s="235"/>
      <c r="G10" s="236">
        <f>G11+G45+G71+G91+G112</f>
        <v>2417326700</v>
      </c>
      <c r="H10" s="235"/>
      <c r="I10" s="235"/>
    </row>
    <row r="11" spans="1:9" s="249" customFormat="1" ht="30" customHeight="1">
      <c r="A11" s="263">
        <v>5</v>
      </c>
      <c r="B11" s="263">
        <v>1</v>
      </c>
      <c r="C11" s="263"/>
      <c r="D11" s="263"/>
      <c r="E11" s="251" t="s">
        <v>6</v>
      </c>
      <c r="F11" s="400"/>
      <c r="G11" s="401">
        <f>G12+G20+G26+G30+G42</f>
        <v>964590280</v>
      </c>
      <c r="H11" s="400"/>
      <c r="I11" s="400"/>
    </row>
    <row r="12" spans="1:9" s="249" customFormat="1" ht="39" hidden="1" customHeight="1">
      <c r="A12" s="263">
        <v>5</v>
      </c>
      <c r="B12" s="263">
        <v>1</v>
      </c>
      <c r="C12" s="263">
        <v>1</v>
      </c>
      <c r="D12" s="263"/>
      <c r="E12" s="251" t="s">
        <v>304</v>
      </c>
      <c r="F12" s="307" t="s">
        <v>910</v>
      </c>
      <c r="G12" s="402">
        <f>SUM(G13:G19)</f>
        <v>858670280</v>
      </c>
      <c r="H12" s="307" t="s">
        <v>8</v>
      </c>
      <c r="I12" s="307"/>
    </row>
    <row r="13" spans="1:9" s="249" customFormat="1" ht="24" hidden="1" customHeight="1">
      <c r="A13" s="263">
        <v>5</v>
      </c>
      <c r="B13" s="263">
        <v>1</v>
      </c>
      <c r="C13" s="263">
        <v>1</v>
      </c>
      <c r="D13" s="263">
        <v>1</v>
      </c>
      <c r="E13" s="246" t="s">
        <v>7</v>
      </c>
      <c r="F13" s="247" t="s">
        <v>910</v>
      </c>
      <c r="G13" s="248">
        <v>37500000</v>
      </c>
      <c r="H13" s="247" t="s">
        <v>8</v>
      </c>
      <c r="I13" s="247" t="s">
        <v>9</v>
      </c>
    </row>
    <row r="14" spans="1:9" s="249" customFormat="1" ht="26.25" hidden="1" customHeight="1">
      <c r="A14" s="263">
        <v>5</v>
      </c>
      <c r="B14" s="263">
        <v>1</v>
      </c>
      <c r="C14" s="263">
        <v>1</v>
      </c>
      <c r="D14" s="263">
        <v>2</v>
      </c>
      <c r="E14" s="246" t="s">
        <v>10</v>
      </c>
      <c r="F14" s="247" t="s">
        <v>910</v>
      </c>
      <c r="G14" s="248">
        <v>652500000</v>
      </c>
      <c r="H14" s="247" t="s">
        <v>8</v>
      </c>
      <c r="I14" s="247" t="s">
        <v>9</v>
      </c>
    </row>
    <row r="15" spans="1:9" s="249" customFormat="1" ht="23.25" hidden="1" customHeight="1">
      <c r="A15" s="263">
        <v>5</v>
      </c>
      <c r="B15" s="263">
        <v>1</v>
      </c>
      <c r="C15" s="263">
        <v>1</v>
      </c>
      <c r="D15" s="263">
        <v>3</v>
      </c>
      <c r="E15" s="250" t="s">
        <v>11</v>
      </c>
      <c r="F15" s="247" t="s">
        <v>910</v>
      </c>
      <c r="G15" s="248">
        <v>51060972</v>
      </c>
      <c r="H15" s="247" t="s">
        <v>8</v>
      </c>
      <c r="I15" s="247" t="s">
        <v>9</v>
      </c>
    </row>
    <row r="16" spans="1:9" s="249" customFormat="1" ht="50.25" hidden="1" customHeight="1">
      <c r="A16" s="263">
        <v>5</v>
      </c>
      <c r="B16" s="263">
        <v>1</v>
      </c>
      <c r="C16" s="263">
        <v>1</v>
      </c>
      <c r="D16" s="263">
        <v>4</v>
      </c>
      <c r="E16" s="251" t="s">
        <v>12</v>
      </c>
      <c r="F16" s="252" t="s">
        <v>910</v>
      </c>
      <c r="G16" s="253">
        <v>43884308</v>
      </c>
      <c r="H16" s="252" t="s">
        <v>8</v>
      </c>
      <c r="I16" s="254" t="s">
        <v>911</v>
      </c>
    </row>
    <row r="17" spans="1:13" s="249" customFormat="1" ht="27" hidden="1" customHeight="1">
      <c r="A17" s="263">
        <v>5</v>
      </c>
      <c r="B17" s="263">
        <v>1</v>
      </c>
      <c r="C17" s="263">
        <v>1</v>
      </c>
      <c r="D17" s="263">
        <v>5</v>
      </c>
      <c r="E17" s="250" t="s">
        <v>13</v>
      </c>
      <c r="F17" s="252" t="s">
        <v>910</v>
      </c>
      <c r="G17" s="253">
        <v>40625000</v>
      </c>
      <c r="H17" s="252" t="s">
        <v>8</v>
      </c>
      <c r="I17" s="252" t="s">
        <v>9</v>
      </c>
    </row>
    <row r="18" spans="1:13" s="249" customFormat="1" ht="35.25" hidden="1" customHeight="1">
      <c r="A18" s="263">
        <v>5</v>
      </c>
      <c r="B18" s="263">
        <v>1</v>
      </c>
      <c r="C18" s="263">
        <v>1</v>
      </c>
      <c r="D18" s="263">
        <v>6</v>
      </c>
      <c r="E18" s="251" t="s">
        <v>73</v>
      </c>
      <c r="F18" s="252" t="s">
        <v>910</v>
      </c>
      <c r="G18" s="253">
        <v>10000000</v>
      </c>
      <c r="H18" s="252" t="s">
        <v>8</v>
      </c>
      <c r="I18" s="252" t="s">
        <v>9</v>
      </c>
    </row>
    <row r="19" spans="1:13" s="249" customFormat="1" ht="16.5" hidden="1" customHeight="1">
      <c r="A19" s="263">
        <v>5</v>
      </c>
      <c r="B19" s="263">
        <v>1</v>
      </c>
      <c r="C19" s="263">
        <v>1</v>
      </c>
      <c r="D19" s="263">
        <v>7</v>
      </c>
      <c r="E19" s="250" t="s">
        <v>42</v>
      </c>
      <c r="F19" s="255" t="s">
        <v>910</v>
      </c>
      <c r="G19" s="255">
        <v>23100000</v>
      </c>
      <c r="H19" s="255" t="s">
        <v>8</v>
      </c>
      <c r="I19" s="255" t="s">
        <v>9</v>
      </c>
    </row>
    <row r="20" spans="1:13" s="249" customFormat="1" ht="23.25" hidden="1" customHeight="1">
      <c r="A20" s="263">
        <v>5</v>
      </c>
      <c r="B20" s="263">
        <v>1</v>
      </c>
      <c r="C20" s="263">
        <v>2</v>
      </c>
      <c r="D20" s="263"/>
      <c r="E20" s="250" t="s">
        <v>306</v>
      </c>
      <c r="F20" s="307" t="s">
        <v>910</v>
      </c>
      <c r="G20" s="402">
        <f>SUM(G21:G25)</f>
        <v>19900000</v>
      </c>
      <c r="H20" s="307" t="s">
        <v>8</v>
      </c>
      <c r="I20" s="307"/>
    </row>
    <row r="21" spans="1:13" s="249" customFormat="1" ht="23.25" hidden="1" customHeight="1">
      <c r="A21" s="258">
        <v>5</v>
      </c>
      <c r="B21" s="258">
        <v>1</v>
      </c>
      <c r="C21" s="258">
        <v>2</v>
      </c>
      <c r="D21" s="258">
        <v>2</v>
      </c>
      <c r="E21" s="250" t="s">
        <v>39</v>
      </c>
      <c r="F21" s="252" t="s">
        <v>910</v>
      </c>
      <c r="G21" s="253">
        <v>4000000</v>
      </c>
      <c r="H21" s="252" t="s">
        <v>8</v>
      </c>
      <c r="I21" s="252" t="s">
        <v>9</v>
      </c>
    </row>
    <row r="22" spans="1:13" s="249" customFormat="1" ht="23.25" hidden="1" customHeight="1">
      <c r="A22" s="258">
        <v>5</v>
      </c>
      <c r="B22" s="258">
        <v>1</v>
      </c>
      <c r="C22" s="258">
        <v>2</v>
      </c>
      <c r="D22" s="258">
        <v>90</v>
      </c>
      <c r="E22" s="250" t="s">
        <v>38</v>
      </c>
      <c r="F22" s="255" t="s">
        <v>910</v>
      </c>
      <c r="G22" s="255">
        <v>8000000</v>
      </c>
      <c r="H22" s="255" t="s">
        <v>8</v>
      </c>
      <c r="I22" s="255" t="s">
        <v>9</v>
      </c>
    </row>
    <row r="23" spans="1:13" s="249" customFormat="1" ht="23.25" hidden="1" customHeight="1">
      <c r="A23" s="258">
        <v>5</v>
      </c>
      <c r="B23" s="258">
        <v>1</v>
      </c>
      <c r="C23" s="258">
        <v>2</v>
      </c>
      <c r="D23" s="258">
        <v>92</v>
      </c>
      <c r="E23" s="250" t="s">
        <v>307</v>
      </c>
      <c r="F23" s="255" t="s">
        <v>910</v>
      </c>
      <c r="G23" s="255">
        <v>4700000</v>
      </c>
      <c r="H23" s="255" t="s">
        <v>8</v>
      </c>
      <c r="I23" s="255" t="s">
        <v>9</v>
      </c>
    </row>
    <row r="24" spans="1:13" s="249" customFormat="1" ht="23.25" hidden="1" customHeight="1">
      <c r="A24" s="258">
        <v>5</v>
      </c>
      <c r="B24" s="258">
        <v>1</v>
      </c>
      <c r="C24" s="258">
        <v>2</v>
      </c>
      <c r="D24" s="258">
        <v>94</v>
      </c>
      <c r="E24" s="251" t="s">
        <v>40</v>
      </c>
      <c r="F24" s="252" t="s">
        <v>910</v>
      </c>
      <c r="G24" s="253">
        <v>1500000</v>
      </c>
      <c r="H24" s="252" t="s">
        <v>8</v>
      </c>
      <c r="I24" s="252" t="s">
        <v>9</v>
      </c>
    </row>
    <row r="25" spans="1:13" s="249" customFormat="1" ht="23.25" hidden="1" customHeight="1">
      <c r="A25" s="258">
        <v>5</v>
      </c>
      <c r="B25" s="258">
        <v>1</v>
      </c>
      <c r="C25" s="258">
        <v>2</v>
      </c>
      <c r="D25" s="263">
        <v>95</v>
      </c>
      <c r="E25" s="250" t="s">
        <v>82</v>
      </c>
      <c r="F25" s="255" t="s">
        <v>910</v>
      </c>
      <c r="G25" s="259">
        <v>1700000</v>
      </c>
      <c r="H25" s="255" t="s">
        <v>8</v>
      </c>
      <c r="I25" s="255" t="s">
        <v>9</v>
      </c>
    </row>
    <row r="26" spans="1:13" s="249" customFormat="1" ht="30.75" hidden="1" customHeight="1">
      <c r="A26" s="258">
        <v>5</v>
      </c>
      <c r="B26" s="258">
        <v>1</v>
      </c>
      <c r="C26" s="258">
        <v>3</v>
      </c>
      <c r="D26" s="258"/>
      <c r="E26" s="403" t="s">
        <v>308</v>
      </c>
      <c r="F26" s="307" t="s">
        <v>910</v>
      </c>
      <c r="G26" s="402">
        <f>SUM(G27:G29)</f>
        <v>17360000</v>
      </c>
      <c r="H26" s="307" t="s">
        <v>8</v>
      </c>
      <c r="I26" s="307"/>
      <c r="M26" s="249">
        <f>222012500-130862500</f>
        <v>91150000</v>
      </c>
    </row>
    <row r="27" spans="1:13" s="270" customFormat="1" ht="26.25" hidden="1" customHeight="1">
      <c r="A27" s="258">
        <v>5</v>
      </c>
      <c r="B27" s="258">
        <v>1</v>
      </c>
      <c r="C27" s="258">
        <v>3</v>
      </c>
      <c r="D27" s="258">
        <v>2</v>
      </c>
      <c r="E27" s="262" t="s">
        <v>912</v>
      </c>
      <c r="F27" s="255" t="s">
        <v>910</v>
      </c>
      <c r="G27" s="259">
        <v>10000000</v>
      </c>
      <c r="H27" s="255" t="s">
        <v>8</v>
      </c>
      <c r="I27" s="255" t="s">
        <v>9</v>
      </c>
    </row>
    <row r="28" spans="1:13" s="270" customFormat="1" ht="26.25" hidden="1" customHeight="1">
      <c r="A28" s="258">
        <v>5</v>
      </c>
      <c r="B28" s="258">
        <v>1</v>
      </c>
      <c r="C28" s="258">
        <v>3</v>
      </c>
      <c r="D28" s="258">
        <v>90</v>
      </c>
      <c r="E28" s="250" t="s">
        <v>47</v>
      </c>
      <c r="F28" s="252" t="s">
        <v>910</v>
      </c>
      <c r="G28" s="253">
        <v>3600000</v>
      </c>
      <c r="H28" s="252" t="s">
        <v>8</v>
      </c>
      <c r="I28" s="252" t="s">
        <v>9</v>
      </c>
    </row>
    <row r="29" spans="1:13" s="270" customFormat="1" ht="26.25" hidden="1" customHeight="1">
      <c r="A29" s="258">
        <v>5</v>
      </c>
      <c r="B29" s="258">
        <v>1</v>
      </c>
      <c r="C29" s="258">
        <v>3</v>
      </c>
      <c r="D29" s="263">
        <v>91</v>
      </c>
      <c r="E29" s="250" t="s">
        <v>309</v>
      </c>
      <c r="F29" s="252" t="s">
        <v>910</v>
      </c>
      <c r="G29" s="253">
        <v>3760000</v>
      </c>
      <c r="H29" s="252" t="s">
        <v>8</v>
      </c>
      <c r="I29" s="252" t="s">
        <v>9</v>
      </c>
    </row>
    <row r="30" spans="1:13" s="249" customFormat="1" ht="39" hidden="1" customHeight="1">
      <c r="A30" s="258">
        <v>5</v>
      </c>
      <c r="B30" s="258">
        <v>1</v>
      </c>
      <c r="C30" s="258">
        <v>4</v>
      </c>
      <c r="D30" s="258"/>
      <c r="E30" s="398" t="s">
        <v>90</v>
      </c>
      <c r="F30" s="307" t="s">
        <v>910</v>
      </c>
      <c r="G30" s="402">
        <f>SUM(G31:G41)</f>
        <v>52160000</v>
      </c>
      <c r="H30" s="307" t="s">
        <v>8</v>
      </c>
      <c r="I30" s="307"/>
    </row>
    <row r="31" spans="1:13" s="249" customFormat="1" ht="36.75" hidden="1" customHeight="1">
      <c r="A31" s="265">
        <v>5</v>
      </c>
      <c r="B31" s="265">
        <v>1</v>
      </c>
      <c r="C31" s="265">
        <v>4</v>
      </c>
      <c r="D31" s="265">
        <v>1</v>
      </c>
      <c r="E31" s="398" t="s">
        <v>91</v>
      </c>
      <c r="F31" s="255" t="s">
        <v>910</v>
      </c>
      <c r="G31" s="259">
        <v>5000000</v>
      </c>
      <c r="H31" s="255" t="s">
        <v>8</v>
      </c>
      <c r="I31" s="255" t="s">
        <v>9</v>
      </c>
    </row>
    <row r="32" spans="1:13" s="249" customFormat="1" ht="29.25" hidden="1" customHeight="1">
      <c r="A32" s="265">
        <v>5</v>
      </c>
      <c r="B32" s="265">
        <v>1</v>
      </c>
      <c r="C32" s="265">
        <v>4</v>
      </c>
      <c r="D32" s="258">
        <v>3</v>
      </c>
      <c r="E32" s="251" t="s">
        <v>93</v>
      </c>
      <c r="F32" s="267" t="s">
        <v>910</v>
      </c>
      <c r="G32" s="268">
        <v>2980000</v>
      </c>
      <c r="H32" s="267" t="s">
        <v>8</v>
      </c>
      <c r="I32" s="267" t="s">
        <v>9</v>
      </c>
    </row>
    <row r="33" spans="1:9" s="270" customFormat="1" ht="35.25" hidden="1" customHeight="1">
      <c r="A33" s="265">
        <v>5</v>
      </c>
      <c r="B33" s="265">
        <v>1</v>
      </c>
      <c r="C33" s="265">
        <v>4</v>
      </c>
      <c r="D33" s="258">
        <v>4</v>
      </c>
      <c r="E33" s="269" t="s">
        <v>94</v>
      </c>
      <c r="F33" s="247" t="s">
        <v>910</v>
      </c>
      <c r="G33" s="248">
        <v>6300000</v>
      </c>
      <c r="H33" s="247" t="s">
        <v>8</v>
      </c>
      <c r="I33" s="247" t="s">
        <v>9</v>
      </c>
    </row>
    <row r="34" spans="1:9" s="249" customFormat="1" ht="24" hidden="1" customHeight="1">
      <c r="A34" s="265">
        <v>5</v>
      </c>
      <c r="B34" s="265">
        <v>1</v>
      </c>
      <c r="C34" s="265">
        <v>4</v>
      </c>
      <c r="D34" s="258">
        <v>5</v>
      </c>
      <c r="E34" s="246" t="s">
        <v>95</v>
      </c>
      <c r="F34" s="271" t="s">
        <v>910</v>
      </c>
      <c r="G34" s="272">
        <v>4400000</v>
      </c>
      <c r="H34" s="271" t="s">
        <v>8</v>
      </c>
      <c r="I34" s="271" t="s">
        <v>9</v>
      </c>
    </row>
    <row r="35" spans="1:9" s="249" customFormat="1" ht="36" hidden="1" customHeight="1">
      <c r="A35" s="265">
        <v>5</v>
      </c>
      <c r="B35" s="265">
        <v>1</v>
      </c>
      <c r="C35" s="265">
        <v>4</v>
      </c>
      <c r="D35" s="258">
        <v>6</v>
      </c>
      <c r="E35" s="246" t="s">
        <v>96</v>
      </c>
      <c r="F35" s="271" t="s">
        <v>910</v>
      </c>
      <c r="G35" s="272">
        <v>2980000</v>
      </c>
      <c r="H35" s="271" t="s">
        <v>8</v>
      </c>
      <c r="I35" s="271" t="s">
        <v>9</v>
      </c>
    </row>
    <row r="36" spans="1:9" s="249" customFormat="1" ht="62.25" hidden="1" customHeight="1">
      <c r="A36" s="273">
        <v>5</v>
      </c>
      <c r="B36" s="273">
        <v>1</v>
      </c>
      <c r="C36" s="273">
        <v>4</v>
      </c>
      <c r="D36" s="273">
        <v>7</v>
      </c>
      <c r="E36" s="251" t="s">
        <v>16</v>
      </c>
      <c r="F36" s="252" t="s">
        <v>910</v>
      </c>
      <c r="G36" s="253">
        <v>3100000</v>
      </c>
      <c r="H36" s="252" t="s">
        <v>8</v>
      </c>
      <c r="I36" s="252" t="s">
        <v>9</v>
      </c>
    </row>
    <row r="37" spans="1:9" s="270" customFormat="1" ht="26.25" hidden="1" customHeight="1">
      <c r="A37" s="258">
        <v>5</v>
      </c>
      <c r="B37" s="258">
        <v>1</v>
      </c>
      <c r="C37" s="258">
        <v>4</v>
      </c>
      <c r="D37" s="258">
        <v>8</v>
      </c>
      <c r="E37" s="246" t="s">
        <v>913</v>
      </c>
      <c r="F37" s="252" t="s">
        <v>910</v>
      </c>
      <c r="G37" s="253">
        <v>6000000</v>
      </c>
      <c r="H37" s="252" t="s">
        <v>8</v>
      </c>
      <c r="I37" s="252" t="s">
        <v>914</v>
      </c>
    </row>
    <row r="38" spans="1:9" s="249" customFormat="1" ht="37.5" hidden="1" customHeight="1">
      <c r="A38" s="265">
        <v>5</v>
      </c>
      <c r="B38" s="265">
        <v>1</v>
      </c>
      <c r="C38" s="265">
        <v>4</v>
      </c>
      <c r="D38" s="258">
        <v>10</v>
      </c>
      <c r="E38" s="246" t="s">
        <v>100</v>
      </c>
      <c r="F38" s="267" t="s">
        <v>910</v>
      </c>
      <c r="G38" s="268">
        <v>0</v>
      </c>
      <c r="H38" s="267" t="s">
        <v>8</v>
      </c>
      <c r="I38" s="267" t="s">
        <v>937</v>
      </c>
    </row>
    <row r="39" spans="1:9" s="249" customFormat="1" ht="21.75" hidden="1" customHeight="1">
      <c r="A39" s="265">
        <v>5</v>
      </c>
      <c r="B39" s="265">
        <v>1</v>
      </c>
      <c r="C39" s="265">
        <v>4</v>
      </c>
      <c r="D39" s="258">
        <v>90</v>
      </c>
      <c r="E39" s="250" t="s">
        <v>50</v>
      </c>
      <c r="F39" s="271" t="s">
        <v>910</v>
      </c>
      <c r="G39" s="272">
        <v>4300000</v>
      </c>
      <c r="H39" s="271" t="s">
        <v>8</v>
      </c>
      <c r="I39" s="271" t="s">
        <v>9</v>
      </c>
    </row>
    <row r="40" spans="1:9" s="249" customFormat="1" ht="21.75" hidden="1" customHeight="1">
      <c r="A40" s="265">
        <v>5</v>
      </c>
      <c r="B40" s="265">
        <v>1</v>
      </c>
      <c r="C40" s="265">
        <v>4</v>
      </c>
      <c r="D40" s="258">
        <v>92</v>
      </c>
      <c r="E40" s="250" t="s">
        <v>310</v>
      </c>
      <c r="F40" s="271" t="s">
        <v>910</v>
      </c>
      <c r="G40" s="272">
        <v>9000000</v>
      </c>
      <c r="H40" s="271" t="s">
        <v>8</v>
      </c>
      <c r="I40" s="271" t="s">
        <v>9</v>
      </c>
    </row>
    <row r="41" spans="1:9" s="249" customFormat="1" ht="21.75" hidden="1" customHeight="1">
      <c r="A41" s="265">
        <v>5</v>
      </c>
      <c r="B41" s="265">
        <v>1</v>
      </c>
      <c r="C41" s="265">
        <v>4</v>
      </c>
      <c r="D41" s="258">
        <v>95</v>
      </c>
      <c r="E41" s="250" t="s">
        <v>311</v>
      </c>
      <c r="F41" s="271" t="s">
        <v>910</v>
      </c>
      <c r="G41" s="272">
        <v>8100000</v>
      </c>
      <c r="H41" s="271" t="s">
        <v>8</v>
      </c>
      <c r="I41" s="271" t="s">
        <v>9</v>
      </c>
    </row>
    <row r="42" spans="1:9" s="249" customFormat="1" ht="21.75" hidden="1" customHeight="1">
      <c r="A42" s="258">
        <v>5</v>
      </c>
      <c r="B42" s="258">
        <v>1</v>
      </c>
      <c r="C42" s="258">
        <v>5</v>
      </c>
      <c r="D42" s="258"/>
      <c r="E42" s="250" t="s">
        <v>17</v>
      </c>
      <c r="F42" s="404" t="s">
        <v>910</v>
      </c>
      <c r="G42" s="405">
        <f>SUM(G43:G44)</f>
        <v>16500000</v>
      </c>
      <c r="H42" s="404" t="s">
        <v>8</v>
      </c>
      <c r="I42" s="404"/>
    </row>
    <row r="43" spans="1:9" s="249" customFormat="1" ht="33" hidden="1" customHeight="1">
      <c r="A43" s="258">
        <v>5</v>
      </c>
      <c r="B43" s="258">
        <v>1</v>
      </c>
      <c r="C43" s="258">
        <v>5</v>
      </c>
      <c r="D43" s="258">
        <v>93</v>
      </c>
      <c r="E43" s="246" t="s">
        <v>312</v>
      </c>
      <c r="F43" s="271" t="s">
        <v>910</v>
      </c>
      <c r="G43" s="272">
        <v>2500000</v>
      </c>
      <c r="H43" s="271" t="s">
        <v>8</v>
      </c>
      <c r="I43" s="271" t="s">
        <v>9</v>
      </c>
    </row>
    <row r="44" spans="1:9" s="249" customFormat="1" ht="23.25" hidden="1" customHeight="1">
      <c r="A44" s="258">
        <v>5</v>
      </c>
      <c r="B44" s="258">
        <v>1</v>
      </c>
      <c r="C44" s="258">
        <v>5</v>
      </c>
      <c r="D44" s="258">
        <v>94</v>
      </c>
      <c r="E44" s="250" t="s">
        <v>51</v>
      </c>
      <c r="F44" s="252" t="s">
        <v>910</v>
      </c>
      <c r="G44" s="253">
        <v>14000000</v>
      </c>
      <c r="H44" s="252" t="s">
        <v>8</v>
      </c>
      <c r="I44" s="252" t="s">
        <v>9</v>
      </c>
    </row>
    <row r="45" spans="1:9" s="249" customFormat="1" ht="23.25" customHeight="1">
      <c r="A45" s="258">
        <v>5</v>
      </c>
      <c r="B45" s="258">
        <v>2</v>
      </c>
      <c r="C45" s="258"/>
      <c r="D45" s="258"/>
      <c r="E45" s="250" t="s">
        <v>19</v>
      </c>
      <c r="F45" s="307"/>
      <c r="G45" s="402">
        <f>G46+G51+G60+G65+G67+G69</f>
        <v>1016983980</v>
      </c>
      <c r="H45" s="307"/>
      <c r="I45" s="307"/>
    </row>
    <row r="46" spans="1:9" s="249" customFormat="1" ht="23.25" hidden="1" customHeight="1">
      <c r="A46" s="258">
        <v>5</v>
      </c>
      <c r="B46" s="258">
        <v>2</v>
      </c>
      <c r="C46" s="258">
        <v>1</v>
      </c>
      <c r="D46" s="258"/>
      <c r="E46" s="250" t="s">
        <v>20</v>
      </c>
      <c r="F46" s="307" t="s">
        <v>910</v>
      </c>
      <c r="G46" s="402">
        <f>SUM(G47:G50)</f>
        <v>66000000</v>
      </c>
      <c r="H46" s="307" t="s">
        <v>8</v>
      </c>
      <c r="I46" s="307"/>
    </row>
    <row r="47" spans="1:9" s="249" customFormat="1" ht="48.75" hidden="1" customHeight="1">
      <c r="A47" s="258">
        <v>5</v>
      </c>
      <c r="B47" s="258">
        <v>2</v>
      </c>
      <c r="C47" s="258">
        <v>1</v>
      </c>
      <c r="D47" s="258">
        <v>1</v>
      </c>
      <c r="E47" s="251" t="s">
        <v>916</v>
      </c>
      <c r="F47" s="255" t="s">
        <v>910</v>
      </c>
      <c r="G47" s="280">
        <v>23300000</v>
      </c>
      <c r="H47" s="255" t="s">
        <v>8</v>
      </c>
      <c r="I47" s="255" t="s">
        <v>914</v>
      </c>
    </row>
    <row r="48" spans="1:9" s="249" customFormat="1" ht="24.75" hidden="1" customHeight="1">
      <c r="A48" s="258">
        <v>5</v>
      </c>
      <c r="B48" s="258">
        <v>2</v>
      </c>
      <c r="C48" s="258">
        <v>1</v>
      </c>
      <c r="D48" s="258">
        <v>2</v>
      </c>
      <c r="E48" s="250" t="s">
        <v>117</v>
      </c>
      <c r="F48" s="255" t="s">
        <v>910</v>
      </c>
      <c r="G48" s="280">
        <v>13000000</v>
      </c>
      <c r="H48" s="255" t="s">
        <v>8</v>
      </c>
      <c r="I48" s="255" t="s">
        <v>914</v>
      </c>
    </row>
    <row r="49" spans="1:9" s="249" customFormat="1" ht="33.75" hidden="1" customHeight="1">
      <c r="A49" s="258">
        <v>5</v>
      </c>
      <c r="B49" s="258">
        <v>2</v>
      </c>
      <c r="C49" s="258">
        <v>1</v>
      </c>
      <c r="D49" s="258">
        <v>8</v>
      </c>
      <c r="E49" s="251" t="s">
        <v>917</v>
      </c>
      <c r="F49" s="255" t="s">
        <v>910</v>
      </c>
      <c r="G49" s="259">
        <v>4700000</v>
      </c>
      <c r="H49" s="255" t="s">
        <v>8</v>
      </c>
      <c r="I49" s="255" t="s">
        <v>914</v>
      </c>
    </row>
    <row r="50" spans="1:9" s="249" customFormat="1" ht="21.75" hidden="1" customHeight="1">
      <c r="A50" s="258">
        <v>5</v>
      </c>
      <c r="B50" s="258">
        <v>2</v>
      </c>
      <c r="C50" s="258">
        <v>1</v>
      </c>
      <c r="D50" s="258">
        <v>90</v>
      </c>
      <c r="E50" s="250" t="s">
        <v>122</v>
      </c>
      <c r="F50" s="255" t="s">
        <v>910</v>
      </c>
      <c r="G50" s="259">
        <v>25000000</v>
      </c>
      <c r="H50" s="255" t="s">
        <v>8</v>
      </c>
      <c r="I50" s="255" t="s">
        <v>914</v>
      </c>
    </row>
    <row r="51" spans="1:9" s="249" customFormat="1" ht="21.75" hidden="1" customHeight="1">
      <c r="A51" s="258">
        <v>5</v>
      </c>
      <c r="B51" s="258">
        <v>2</v>
      </c>
      <c r="C51" s="258">
        <v>2</v>
      </c>
      <c r="D51" s="258"/>
      <c r="E51" s="250" t="s">
        <v>22</v>
      </c>
      <c r="F51" s="307" t="s">
        <v>910</v>
      </c>
      <c r="G51" s="402">
        <f>SUM(G52:G59)</f>
        <v>171180000</v>
      </c>
      <c r="H51" s="307" t="s">
        <v>8</v>
      </c>
      <c r="I51" s="307"/>
    </row>
    <row r="52" spans="1:9" s="249" customFormat="1" ht="36.75" hidden="1" customHeight="1">
      <c r="A52" s="258">
        <v>5</v>
      </c>
      <c r="B52" s="258">
        <v>2</v>
      </c>
      <c r="C52" s="258">
        <v>2</v>
      </c>
      <c r="D52" s="258">
        <v>1</v>
      </c>
      <c r="E52" s="246" t="s">
        <v>23</v>
      </c>
      <c r="F52" s="255" t="s">
        <v>910</v>
      </c>
      <c r="G52" s="259">
        <v>56120000</v>
      </c>
      <c r="H52" s="255" t="s">
        <v>8</v>
      </c>
      <c r="I52" s="255" t="s">
        <v>914</v>
      </c>
    </row>
    <row r="53" spans="1:9" s="249" customFormat="1" ht="35.25" hidden="1" customHeight="1">
      <c r="A53" s="258">
        <v>5</v>
      </c>
      <c r="B53" s="258">
        <v>2</v>
      </c>
      <c r="C53" s="258">
        <v>2</v>
      </c>
      <c r="D53" s="258">
        <v>3</v>
      </c>
      <c r="E53" s="251" t="s">
        <v>313</v>
      </c>
      <c r="F53" s="255" t="s">
        <v>910</v>
      </c>
      <c r="G53" s="259">
        <v>6000000</v>
      </c>
      <c r="H53" s="255" t="s">
        <v>8</v>
      </c>
      <c r="I53" s="255" t="s">
        <v>914</v>
      </c>
    </row>
    <row r="54" spans="1:9" s="249" customFormat="1" ht="21.75" hidden="1" customHeight="1">
      <c r="A54" s="258">
        <v>5</v>
      </c>
      <c r="B54" s="258">
        <v>2</v>
      </c>
      <c r="C54" s="258">
        <v>2</v>
      </c>
      <c r="D54" s="258">
        <v>4</v>
      </c>
      <c r="E54" s="250" t="s">
        <v>24</v>
      </c>
      <c r="F54" s="255" t="s">
        <v>910</v>
      </c>
      <c r="G54" s="259">
        <v>15000000</v>
      </c>
      <c r="H54" s="255" t="s">
        <v>8</v>
      </c>
      <c r="I54" s="255" t="s">
        <v>914</v>
      </c>
    </row>
    <row r="55" spans="1:9" s="249" customFormat="1" ht="41.25" hidden="1" customHeight="1">
      <c r="A55" s="258">
        <v>5</v>
      </c>
      <c r="B55" s="258">
        <v>2</v>
      </c>
      <c r="C55" s="258">
        <v>2</v>
      </c>
      <c r="D55" s="258">
        <v>9</v>
      </c>
      <c r="E55" s="251" t="s">
        <v>130</v>
      </c>
      <c r="F55" s="255" t="s">
        <v>910</v>
      </c>
      <c r="G55" s="259">
        <v>14000000</v>
      </c>
      <c r="H55" s="255" t="s">
        <v>8</v>
      </c>
      <c r="I55" s="255" t="s">
        <v>914</v>
      </c>
    </row>
    <row r="56" spans="1:9" s="249" customFormat="1" ht="21.75" hidden="1" customHeight="1">
      <c r="A56" s="258">
        <v>5</v>
      </c>
      <c r="B56" s="258">
        <v>2</v>
      </c>
      <c r="C56" s="258">
        <v>2</v>
      </c>
      <c r="D56" s="258">
        <v>90</v>
      </c>
      <c r="E56" s="250" t="s">
        <v>131</v>
      </c>
      <c r="F56" s="255" t="s">
        <v>910</v>
      </c>
      <c r="G56" s="259">
        <v>3500000</v>
      </c>
      <c r="H56" s="255" t="s">
        <v>8</v>
      </c>
      <c r="I56" s="255" t="s">
        <v>914</v>
      </c>
    </row>
    <row r="57" spans="1:9" s="249" customFormat="1" ht="21.75" hidden="1" customHeight="1">
      <c r="A57" s="258">
        <v>5</v>
      </c>
      <c r="B57" s="258">
        <v>2</v>
      </c>
      <c r="C57" s="258">
        <v>2</v>
      </c>
      <c r="D57" s="258">
        <v>91</v>
      </c>
      <c r="E57" s="250" t="s">
        <v>132</v>
      </c>
      <c r="F57" s="255" t="s">
        <v>910</v>
      </c>
      <c r="G57" s="259">
        <v>9600000</v>
      </c>
      <c r="H57" s="255" t="s">
        <v>8</v>
      </c>
      <c r="I57" s="255" t="s">
        <v>914</v>
      </c>
    </row>
    <row r="58" spans="1:9" s="249" customFormat="1" ht="21.75" hidden="1" customHeight="1">
      <c r="A58" s="258">
        <v>5</v>
      </c>
      <c r="B58" s="258">
        <v>2</v>
      </c>
      <c r="C58" s="258">
        <v>2</v>
      </c>
      <c r="D58" s="258">
        <v>94</v>
      </c>
      <c r="E58" s="251" t="s">
        <v>57</v>
      </c>
      <c r="F58" s="255" t="s">
        <v>910</v>
      </c>
      <c r="G58" s="259">
        <v>14040000</v>
      </c>
      <c r="H58" s="255" t="s">
        <v>8</v>
      </c>
      <c r="I58" s="255" t="s">
        <v>914</v>
      </c>
    </row>
    <row r="59" spans="1:9" s="249" customFormat="1" ht="21.75" hidden="1" customHeight="1">
      <c r="A59" s="258">
        <v>5</v>
      </c>
      <c r="B59" s="258">
        <v>2</v>
      </c>
      <c r="C59" s="258">
        <v>2</v>
      </c>
      <c r="D59" s="258">
        <v>98</v>
      </c>
      <c r="E59" s="250" t="s">
        <v>314</v>
      </c>
      <c r="F59" s="252" t="s">
        <v>910</v>
      </c>
      <c r="G59" s="253">
        <v>52920000</v>
      </c>
      <c r="H59" s="252" t="s">
        <v>8</v>
      </c>
      <c r="I59" s="252" t="s">
        <v>914</v>
      </c>
    </row>
    <row r="60" spans="1:9" s="249" customFormat="1" ht="36.75" hidden="1" customHeight="1">
      <c r="A60" s="258">
        <v>5</v>
      </c>
      <c r="B60" s="258">
        <v>2</v>
      </c>
      <c r="C60" s="258">
        <v>3</v>
      </c>
      <c r="D60" s="258"/>
      <c r="E60" s="250" t="s">
        <v>25</v>
      </c>
      <c r="F60" s="307" t="s">
        <v>910</v>
      </c>
      <c r="G60" s="402">
        <f>SUM(G61:G64)</f>
        <v>698753980</v>
      </c>
      <c r="H60" s="307" t="s">
        <v>8</v>
      </c>
      <c r="I60" s="307"/>
    </row>
    <row r="61" spans="1:9" s="249" customFormat="1" ht="36.75" hidden="1" customHeight="1">
      <c r="A61" s="258">
        <v>5</v>
      </c>
      <c r="B61" s="258">
        <v>2</v>
      </c>
      <c r="C61" s="258">
        <v>3</v>
      </c>
      <c r="D61" s="258">
        <v>10</v>
      </c>
      <c r="E61" s="246" t="s">
        <v>918</v>
      </c>
      <c r="F61" s="255" t="s">
        <v>910</v>
      </c>
      <c r="G61" s="255">
        <f>540500000-180000000</f>
        <v>360500000</v>
      </c>
      <c r="H61" s="255" t="s">
        <v>8</v>
      </c>
      <c r="I61" s="255" t="s">
        <v>919</v>
      </c>
    </row>
    <row r="62" spans="1:9" s="270" customFormat="1" ht="33" hidden="1" customHeight="1">
      <c r="A62" s="258">
        <v>5</v>
      </c>
      <c r="B62" s="258">
        <v>2</v>
      </c>
      <c r="C62" s="258">
        <v>3</v>
      </c>
      <c r="D62" s="258">
        <v>11</v>
      </c>
      <c r="E62" s="269" t="s">
        <v>920</v>
      </c>
      <c r="F62" s="255" t="s">
        <v>910</v>
      </c>
      <c r="G62" s="255">
        <v>168000000</v>
      </c>
      <c r="H62" s="255" t="s">
        <v>8</v>
      </c>
      <c r="I62" s="255" t="s">
        <v>914</v>
      </c>
    </row>
    <row r="63" spans="1:9" s="249" customFormat="1" ht="36.75" hidden="1" customHeight="1">
      <c r="A63" s="258">
        <v>5</v>
      </c>
      <c r="B63" s="258">
        <v>2</v>
      </c>
      <c r="C63" s="258">
        <v>3</v>
      </c>
      <c r="D63" s="258">
        <v>14</v>
      </c>
      <c r="E63" s="246" t="s">
        <v>921</v>
      </c>
      <c r="F63" s="282" t="s">
        <v>910</v>
      </c>
      <c r="G63" s="283">
        <f>249348800-14000000-95094820</f>
        <v>140253980</v>
      </c>
      <c r="H63" s="282" t="s">
        <v>8</v>
      </c>
      <c r="I63" s="282" t="s">
        <v>914</v>
      </c>
    </row>
    <row r="64" spans="1:9" s="249" customFormat="1" ht="30" hidden="1" customHeight="1">
      <c r="A64" s="258">
        <v>5</v>
      </c>
      <c r="B64" s="258">
        <v>2</v>
      </c>
      <c r="C64" s="258">
        <v>3</v>
      </c>
      <c r="D64" s="258">
        <v>15</v>
      </c>
      <c r="E64" s="246" t="s">
        <v>144</v>
      </c>
      <c r="F64" s="282" t="s">
        <v>910</v>
      </c>
      <c r="G64" s="283">
        <v>30000000</v>
      </c>
      <c r="H64" s="282" t="s">
        <v>8</v>
      </c>
      <c r="I64" s="282" t="s">
        <v>400</v>
      </c>
    </row>
    <row r="65" spans="1:9" s="249" customFormat="1" ht="33.75" hidden="1" customHeight="1">
      <c r="A65" s="258">
        <v>5</v>
      </c>
      <c r="B65" s="258">
        <v>2</v>
      </c>
      <c r="C65" s="258">
        <v>4</v>
      </c>
      <c r="D65" s="258"/>
      <c r="E65" s="294" t="s">
        <v>146</v>
      </c>
      <c r="F65" s="307" t="s">
        <v>910</v>
      </c>
      <c r="G65" s="406">
        <f>SUM(G66:G66)</f>
        <v>70000000</v>
      </c>
      <c r="H65" s="307" t="s">
        <v>8</v>
      </c>
      <c r="I65" s="307"/>
    </row>
    <row r="66" spans="1:9" s="249" customFormat="1" ht="33.75" hidden="1" customHeight="1">
      <c r="A66" s="258">
        <v>5</v>
      </c>
      <c r="B66" s="258">
        <v>2</v>
      </c>
      <c r="C66" s="258">
        <v>4</v>
      </c>
      <c r="D66" s="258">
        <v>91</v>
      </c>
      <c r="E66" s="250" t="s">
        <v>317</v>
      </c>
      <c r="F66" s="252" t="s">
        <v>910</v>
      </c>
      <c r="G66" s="253">
        <v>70000000</v>
      </c>
      <c r="H66" s="252" t="s">
        <v>8</v>
      </c>
      <c r="I66" s="252" t="s">
        <v>914</v>
      </c>
    </row>
    <row r="67" spans="1:9" s="270" customFormat="1" ht="33.75" hidden="1" customHeight="1">
      <c r="A67" s="258">
        <v>5</v>
      </c>
      <c r="B67" s="258">
        <v>2</v>
      </c>
      <c r="C67" s="258">
        <v>6</v>
      </c>
      <c r="D67" s="258"/>
      <c r="E67" s="269" t="s">
        <v>154</v>
      </c>
      <c r="F67" s="400" t="s">
        <v>910</v>
      </c>
      <c r="G67" s="407">
        <f>SUM(G68)</f>
        <v>8050000</v>
      </c>
      <c r="H67" s="400" t="s">
        <v>8</v>
      </c>
      <c r="I67" s="400"/>
    </row>
    <row r="68" spans="1:9" s="249" customFormat="1" ht="36.75" hidden="1" customHeight="1">
      <c r="A68" s="258">
        <v>5</v>
      </c>
      <c r="B68" s="258">
        <v>2</v>
      </c>
      <c r="C68" s="258">
        <v>6</v>
      </c>
      <c r="D68" s="258">
        <v>2</v>
      </c>
      <c r="E68" s="246" t="s">
        <v>28</v>
      </c>
      <c r="F68" s="247" t="s">
        <v>910</v>
      </c>
      <c r="G68" s="248">
        <v>8050000</v>
      </c>
      <c r="H68" s="247" t="s">
        <v>8</v>
      </c>
      <c r="I68" s="247" t="s">
        <v>914</v>
      </c>
    </row>
    <row r="69" spans="1:9" s="249" customFormat="1" ht="24" hidden="1" customHeight="1">
      <c r="A69" s="258">
        <v>5</v>
      </c>
      <c r="B69" s="258">
        <v>2</v>
      </c>
      <c r="C69" s="258">
        <v>8</v>
      </c>
      <c r="D69" s="258"/>
      <c r="E69" s="294" t="s">
        <v>29</v>
      </c>
      <c r="F69" s="307" t="s">
        <v>910</v>
      </c>
      <c r="G69" s="406">
        <f>SUM(G70:G70)</f>
        <v>3000000</v>
      </c>
      <c r="H69" s="307" t="s">
        <v>8</v>
      </c>
      <c r="I69" s="307"/>
    </row>
    <row r="70" spans="1:9" s="249" customFormat="1" ht="24" hidden="1" customHeight="1">
      <c r="A70" s="258">
        <v>5</v>
      </c>
      <c r="B70" s="258">
        <v>2</v>
      </c>
      <c r="C70" s="258">
        <v>8</v>
      </c>
      <c r="D70" s="258">
        <v>93</v>
      </c>
      <c r="E70" s="294" t="s">
        <v>161</v>
      </c>
      <c r="F70" s="247" t="s">
        <v>910</v>
      </c>
      <c r="G70" s="248">
        <v>3000000</v>
      </c>
      <c r="H70" s="247" t="s">
        <v>8</v>
      </c>
      <c r="I70" s="247" t="s">
        <v>914</v>
      </c>
    </row>
    <row r="71" spans="1:9" s="249" customFormat="1" ht="24" customHeight="1">
      <c r="A71" s="258">
        <v>5</v>
      </c>
      <c r="B71" s="258">
        <v>3</v>
      </c>
      <c r="C71" s="258"/>
      <c r="D71" s="258"/>
      <c r="E71" s="250" t="s">
        <v>163</v>
      </c>
      <c r="F71" s="307"/>
      <c r="G71" s="402">
        <f>G72+G75+G81+G87</f>
        <v>72352440</v>
      </c>
      <c r="H71" s="307"/>
      <c r="I71" s="307"/>
    </row>
    <row r="72" spans="1:9" s="249" customFormat="1" ht="39" hidden="1" customHeight="1">
      <c r="A72" s="258">
        <v>5</v>
      </c>
      <c r="B72" s="258">
        <v>3</v>
      </c>
      <c r="C72" s="258">
        <v>1</v>
      </c>
      <c r="D72" s="258"/>
      <c r="E72" s="246" t="s">
        <v>164</v>
      </c>
      <c r="F72" s="400" t="s">
        <v>910</v>
      </c>
      <c r="G72" s="407">
        <f>SUM(G73:G74)</f>
        <v>6675000</v>
      </c>
      <c r="H72" s="400" t="s">
        <v>8</v>
      </c>
      <c r="I72" s="400"/>
    </row>
    <row r="73" spans="1:9" s="249" customFormat="1" ht="33.75" hidden="1" customHeight="1">
      <c r="A73" s="258">
        <v>5</v>
      </c>
      <c r="B73" s="258">
        <v>3</v>
      </c>
      <c r="C73" s="258">
        <v>1</v>
      </c>
      <c r="D73" s="258">
        <v>2</v>
      </c>
      <c r="E73" s="251" t="s">
        <v>166</v>
      </c>
      <c r="F73" s="252" t="s">
        <v>910</v>
      </c>
      <c r="G73" s="253">
        <v>3175000</v>
      </c>
      <c r="H73" s="252" t="s">
        <v>8</v>
      </c>
      <c r="I73" s="252" t="s">
        <v>31</v>
      </c>
    </row>
    <row r="74" spans="1:9" s="249" customFormat="1" ht="21.75" hidden="1" customHeight="1">
      <c r="A74" s="258">
        <v>5</v>
      </c>
      <c r="B74" s="258">
        <v>3</v>
      </c>
      <c r="C74" s="258">
        <v>1</v>
      </c>
      <c r="D74" s="297" t="s">
        <v>319</v>
      </c>
      <c r="E74" s="250" t="s">
        <v>320</v>
      </c>
      <c r="F74" s="252" t="s">
        <v>910</v>
      </c>
      <c r="G74" s="253">
        <v>3500000</v>
      </c>
      <c r="H74" s="252" t="s">
        <v>8</v>
      </c>
      <c r="I74" s="252" t="s">
        <v>31</v>
      </c>
    </row>
    <row r="75" spans="1:9" s="249" customFormat="1" ht="21.75" hidden="1" customHeight="1">
      <c r="A75" s="258">
        <v>5</v>
      </c>
      <c r="B75" s="258">
        <v>3</v>
      </c>
      <c r="C75" s="258">
        <v>2</v>
      </c>
      <c r="D75" s="258"/>
      <c r="E75" s="246" t="s">
        <v>176</v>
      </c>
      <c r="F75" s="400" t="s">
        <v>910</v>
      </c>
      <c r="G75" s="407">
        <f>SUM(G76:G80)</f>
        <v>24250000</v>
      </c>
      <c r="H75" s="400" t="s">
        <v>8</v>
      </c>
      <c r="I75" s="400"/>
    </row>
    <row r="76" spans="1:9" s="249" customFormat="1" ht="34.5" hidden="1" customHeight="1">
      <c r="A76" s="258">
        <v>5</v>
      </c>
      <c r="B76" s="258">
        <v>3</v>
      </c>
      <c r="C76" s="258">
        <v>2</v>
      </c>
      <c r="D76" s="258">
        <v>3</v>
      </c>
      <c r="E76" s="246" t="s">
        <v>178</v>
      </c>
      <c r="F76" s="282" t="s">
        <v>910</v>
      </c>
      <c r="G76" s="283">
        <v>9000000</v>
      </c>
      <c r="H76" s="282" t="s">
        <v>8</v>
      </c>
      <c r="I76" s="282" t="s">
        <v>321</v>
      </c>
    </row>
    <row r="77" spans="1:9" s="249" customFormat="1" ht="37.5" hidden="1" customHeight="1">
      <c r="A77" s="258">
        <v>5</v>
      </c>
      <c r="B77" s="258">
        <v>3</v>
      </c>
      <c r="C77" s="258">
        <v>2</v>
      </c>
      <c r="D77" s="258">
        <v>4</v>
      </c>
      <c r="E77" s="251" t="s">
        <v>322</v>
      </c>
      <c r="F77" s="252" t="s">
        <v>910</v>
      </c>
      <c r="G77" s="253">
        <v>2000000</v>
      </c>
      <c r="H77" s="252" t="s">
        <v>8</v>
      </c>
      <c r="I77" s="252" t="s">
        <v>31</v>
      </c>
    </row>
    <row r="78" spans="1:9" s="249" customFormat="1" ht="24.75" hidden="1" customHeight="1">
      <c r="A78" s="258">
        <v>5</v>
      </c>
      <c r="B78" s="258">
        <v>3</v>
      </c>
      <c r="C78" s="258">
        <v>2</v>
      </c>
      <c r="D78" s="258">
        <v>90</v>
      </c>
      <c r="E78" s="250" t="s">
        <v>59</v>
      </c>
      <c r="F78" s="252" t="s">
        <v>910</v>
      </c>
      <c r="G78" s="253">
        <v>6750000</v>
      </c>
      <c r="H78" s="252" t="s">
        <v>8</v>
      </c>
      <c r="I78" s="252" t="s">
        <v>31</v>
      </c>
    </row>
    <row r="79" spans="1:9" s="249" customFormat="1" ht="24.75" hidden="1" customHeight="1">
      <c r="A79" s="258">
        <v>5</v>
      </c>
      <c r="B79" s="258">
        <v>3</v>
      </c>
      <c r="C79" s="258">
        <v>2</v>
      </c>
      <c r="D79" s="258">
        <v>91</v>
      </c>
      <c r="E79" s="250" t="s">
        <v>58</v>
      </c>
      <c r="F79" s="252" t="s">
        <v>910</v>
      </c>
      <c r="G79" s="253">
        <v>4500000</v>
      </c>
      <c r="H79" s="252" t="s">
        <v>8</v>
      </c>
      <c r="I79" s="252" t="s">
        <v>31</v>
      </c>
    </row>
    <row r="80" spans="1:9" s="249" customFormat="1" ht="33" hidden="1" customHeight="1">
      <c r="A80" s="258">
        <v>5</v>
      </c>
      <c r="B80" s="258">
        <v>3</v>
      </c>
      <c r="C80" s="258">
        <v>2</v>
      </c>
      <c r="D80" s="258">
        <v>92</v>
      </c>
      <c r="E80" s="246" t="s">
        <v>926</v>
      </c>
      <c r="F80" s="252" t="s">
        <v>910</v>
      </c>
      <c r="G80" s="253">
        <v>2000000</v>
      </c>
      <c r="H80" s="252" t="s">
        <v>8</v>
      </c>
      <c r="I80" s="252" t="s">
        <v>31</v>
      </c>
    </row>
    <row r="81" spans="1:9" s="249" customFormat="1" ht="24.75" hidden="1" customHeight="1">
      <c r="A81" s="258">
        <v>5</v>
      </c>
      <c r="B81" s="258">
        <v>3</v>
      </c>
      <c r="C81" s="258">
        <v>3</v>
      </c>
      <c r="D81" s="258"/>
      <c r="E81" s="246" t="s">
        <v>182</v>
      </c>
      <c r="F81" s="400" t="s">
        <v>910</v>
      </c>
      <c r="G81" s="407">
        <f>SUM(G82:G86)</f>
        <v>27862240</v>
      </c>
      <c r="H81" s="400" t="s">
        <v>8</v>
      </c>
      <c r="I81" s="400"/>
    </row>
    <row r="82" spans="1:9" s="249" customFormat="1" ht="36.75" hidden="1" customHeight="1">
      <c r="A82" s="258">
        <v>5</v>
      </c>
      <c r="B82" s="258">
        <v>3</v>
      </c>
      <c r="C82" s="258">
        <v>3</v>
      </c>
      <c r="D82" s="258">
        <v>1</v>
      </c>
      <c r="E82" s="251" t="s">
        <v>183</v>
      </c>
      <c r="F82" s="252" t="s">
        <v>910</v>
      </c>
      <c r="G82" s="253">
        <v>2000000</v>
      </c>
      <c r="H82" s="252" t="s">
        <v>8</v>
      </c>
      <c r="I82" s="252" t="s">
        <v>31</v>
      </c>
    </row>
    <row r="83" spans="1:9" s="249" customFormat="1" ht="36" hidden="1" customHeight="1">
      <c r="A83" s="258">
        <v>5</v>
      </c>
      <c r="B83" s="258">
        <v>3</v>
      </c>
      <c r="C83" s="258">
        <v>3</v>
      </c>
      <c r="D83" s="258">
        <v>3</v>
      </c>
      <c r="E83" s="246" t="s">
        <v>185</v>
      </c>
      <c r="F83" s="252" t="s">
        <v>910</v>
      </c>
      <c r="G83" s="253">
        <v>16212240</v>
      </c>
      <c r="H83" s="252" t="s">
        <v>8</v>
      </c>
      <c r="I83" s="252" t="s">
        <v>927</v>
      </c>
    </row>
    <row r="84" spans="1:9" s="249" customFormat="1" ht="33.75" hidden="1" customHeight="1">
      <c r="A84" s="258">
        <v>5</v>
      </c>
      <c r="B84" s="258">
        <v>3</v>
      </c>
      <c r="C84" s="258">
        <v>3</v>
      </c>
      <c r="D84" s="258">
        <v>5</v>
      </c>
      <c r="E84" s="246" t="s">
        <v>187</v>
      </c>
      <c r="F84" s="255" t="s">
        <v>910</v>
      </c>
      <c r="G84" s="255">
        <v>2650000</v>
      </c>
      <c r="H84" s="255" t="s">
        <v>8</v>
      </c>
      <c r="I84" s="255" t="s">
        <v>9</v>
      </c>
    </row>
    <row r="85" spans="1:9" s="249" customFormat="1" ht="29.25" hidden="1" customHeight="1">
      <c r="A85" s="258">
        <v>5</v>
      </c>
      <c r="B85" s="258">
        <v>3</v>
      </c>
      <c r="C85" s="258">
        <v>3</v>
      </c>
      <c r="D85" s="258">
        <v>90</v>
      </c>
      <c r="E85" s="246" t="s">
        <v>189</v>
      </c>
      <c r="F85" s="247" t="s">
        <v>910</v>
      </c>
      <c r="G85" s="248">
        <v>2000000</v>
      </c>
      <c r="H85" s="247" t="s">
        <v>8</v>
      </c>
      <c r="I85" s="247" t="s">
        <v>31</v>
      </c>
    </row>
    <row r="86" spans="1:9" s="249" customFormat="1" ht="29.25" hidden="1" customHeight="1">
      <c r="A86" s="258">
        <v>5</v>
      </c>
      <c r="B86" s="258">
        <v>3</v>
      </c>
      <c r="C86" s="258">
        <v>3</v>
      </c>
      <c r="D86" s="258">
        <v>93</v>
      </c>
      <c r="E86" s="250" t="s">
        <v>45</v>
      </c>
      <c r="F86" s="255" t="s">
        <v>910</v>
      </c>
      <c r="G86" s="259">
        <v>5000000</v>
      </c>
      <c r="H86" s="255" t="s">
        <v>8</v>
      </c>
      <c r="I86" s="255" t="s">
        <v>9</v>
      </c>
    </row>
    <row r="87" spans="1:9" s="249" customFormat="1" ht="27" hidden="1" customHeight="1">
      <c r="A87" s="258">
        <v>5</v>
      </c>
      <c r="B87" s="258">
        <v>3</v>
      </c>
      <c r="C87" s="258">
        <v>4</v>
      </c>
      <c r="D87" s="258"/>
      <c r="E87" s="246" t="s">
        <v>193</v>
      </c>
      <c r="F87" s="400" t="s">
        <v>910</v>
      </c>
      <c r="G87" s="407">
        <f>SUM(G88:G90)</f>
        <v>13565200</v>
      </c>
      <c r="H87" s="400" t="s">
        <v>8</v>
      </c>
      <c r="I87" s="400"/>
    </row>
    <row r="88" spans="1:9" s="249" customFormat="1" ht="37.5" hidden="1" customHeight="1">
      <c r="A88" s="258">
        <v>5</v>
      </c>
      <c r="B88" s="258">
        <v>3</v>
      </c>
      <c r="C88" s="258">
        <v>4</v>
      </c>
      <c r="D88" s="258">
        <v>92</v>
      </c>
      <c r="E88" s="246" t="s">
        <v>194</v>
      </c>
      <c r="F88" s="255" t="s">
        <v>910</v>
      </c>
      <c r="G88" s="255">
        <v>3315200</v>
      </c>
      <c r="H88" s="255" t="s">
        <v>8</v>
      </c>
      <c r="I88" s="255" t="s">
        <v>31</v>
      </c>
    </row>
    <row r="89" spans="1:9" s="249" customFormat="1" ht="27" hidden="1" customHeight="1">
      <c r="A89" s="258">
        <v>5</v>
      </c>
      <c r="B89" s="258">
        <v>3</v>
      </c>
      <c r="C89" s="258">
        <v>4</v>
      </c>
      <c r="D89" s="258">
        <v>95</v>
      </c>
      <c r="E89" s="250" t="s">
        <v>44</v>
      </c>
      <c r="F89" s="255" t="s">
        <v>910</v>
      </c>
      <c r="G89" s="259">
        <v>5000000</v>
      </c>
      <c r="H89" s="255" t="s">
        <v>8</v>
      </c>
      <c r="I89" s="255" t="s">
        <v>46</v>
      </c>
    </row>
    <row r="90" spans="1:9" s="249" customFormat="1" ht="27" hidden="1" customHeight="1">
      <c r="A90" s="258">
        <v>5</v>
      </c>
      <c r="B90" s="258">
        <v>3</v>
      </c>
      <c r="C90" s="258">
        <v>4</v>
      </c>
      <c r="D90" s="258">
        <v>96</v>
      </c>
      <c r="E90" s="250" t="s">
        <v>43</v>
      </c>
      <c r="F90" s="255" t="s">
        <v>910</v>
      </c>
      <c r="G90" s="259">
        <v>5250000</v>
      </c>
      <c r="H90" s="255" t="s">
        <v>8</v>
      </c>
      <c r="I90" s="255" t="s">
        <v>46</v>
      </c>
    </row>
    <row r="91" spans="1:9" s="249" customFormat="1" ht="27" customHeight="1">
      <c r="A91" s="258">
        <v>5</v>
      </c>
      <c r="B91" s="258">
        <v>4</v>
      </c>
      <c r="C91" s="258"/>
      <c r="D91" s="258"/>
      <c r="E91" s="250" t="s">
        <v>198</v>
      </c>
      <c r="F91" s="307"/>
      <c r="G91" s="402">
        <f>G92+G96+G99+G107+G110</f>
        <v>139500000</v>
      </c>
      <c r="H91" s="307"/>
      <c r="I91" s="307"/>
    </row>
    <row r="92" spans="1:9" s="249" customFormat="1" ht="27" hidden="1" customHeight="1">
      <c r="A92" s="258">
        <v>5</v>
      </c>
      <c r="B92" s="258">
        <v>4</v>
      </c>
      <c r="C92" s="258">
        <v>2</v>
      </c>
      <c r="D92" s="258"/>
      <c r="E92" s="246" t="s">
        <v>200</v>
      </c>
      <c r="F92" s="400" t="s">
        <v>910</v>
      </c>
      <c r="G92" s="407">
        <f>SUM(G93:G95)</f>
        <v>41500000</v>
      </c>
      <c r="H92" s="400" t="s">
        <v>8</v>
      </c>
      <c r="I92" s="400"/>
    </row>
    <row r="93" spans="1:9" s="249" customFormat="1" ht="39" hidden="1" customHeight="1">
      <c r="A93" s="258">
        <v>5</v>
      </c>
      <c r="B93" s="258">
        <v>4</v>
      </c>
      <c r="C93" s="258">
        <v>2</v>
      </c>
      <c r="D93" s="258">
        <v>2</v>
      </c>
      <c r="E93" s="246" t="s">
        <v>323</v>
      </c>
      <c r="F93" s="252" t="s">
        <v>910</v>
      </c>
      <c r="G93" s="253">
        <v>30000000</v>
      </c>
      <c r="H93" s="252" t="s">
        <v>8</v>
      </c>
      <c r="I93" s="252" t="s">
        <v>914</v>
      </c>
    </row>
    <row r="94" spans="1:9" s="249" customFormat="1" ht="33.75" hidden="1" customHeight="1">
      <c r="A94" s="258">
        <v>5</v>
      </c>
      <c r="B94" s="258">
        <v>4</v>
      </c>
      <c r="C94" s="258">
        <v>2</v>
      </c>
      <c r="D94" s="258">
        <v>5</v>
      </c>
      <c r="E94" s="246" t="s">
        <v>324</v>
      </c>
      <c r="F94" s="252" t="s">
        <v>910</v>
      </c>
      <c r="G94" s="253">
        <v>6000000</v>
      </c>
      <c r="H94" s="252" t="s">
        <v>8</v>
      </c>
      <c r="I94" s="252" t="s">
        <v>914</v>
      </c>
    </row>
    <row r="95" spans="1:9" s="249" customFormat="1" ht="27" hidden="1" customHeight="1">
      <c r="A95" s="258">
        <v>5</v>
      </c>
      <c r="B95" s="258">
        <v>4</v>
      </c>
      <c r="C95" s="258">
        <v>2</v>
      </c>
      <c r="D95" s="258">
        <v>92</v>
      </c>
      <c r="E95" s="246" t="s">
        <v>203</v>
      </c>
      <c r="F95" s="252" t="s">
        <v>910</v>
      </c>
      <c r="G95" s="253">
        <v>5500000</v>
      </c>
      <c r="H95" s="252" t="s">
        <v>8</v>
      </c>
      <c r="I95" s="252" t="s">
        <v>914</v>
      </c>
    </row>
    <row r="96" spans="1:9" s="249" customFormat="1" ht="24.75" hidden="1" customHeight="1">
      <c r="A96" s="258">
        <v>5</v>
      </c>
      <c r="B96" s="258">
        <v>4</v>
      </c>
      <c r="C96" s="258">
        <v>3</v>
      </c>
      <c r="D96" s="258"/>
      <c r="E96" s="403" t="s">
        <v>206</v>
      </c>
      <c r="F96" s="408" t="s">
        <v>910</v>
      </c>
      <c r="G96" s="409">
        <f>SUM(G97:G98)</f>
        <v>17000000</v>
      </c>
      <c r="H96" s="408" t="s">
        <v>8</v>
      </c>
      <c r="I96" s="408"/>
    </row>
    <row r="97" spans="1:9" s="249" customFormat="1" ht="24.75" hidden="1" customHeight="1">
      <c r="A97" s="258">
        <v>5</v>
      </c>
      <c r="B97" s="258">
        <v>4</v>
      </c>
      <c r="C97" s="258">
        <v>3</v>
      </c>
      <c r="D97" s="258">
        <v>2</v>
      </c>
      <c r="E97" s="246" t="s">
        <v>207</v>
      </c>
      <c r="F97" s="252" t="s">
        <v>910</v>
      </c>
      <c r="G97" s="253">
        <v>12000000</v>
      </c>
      <c r="H97" s="252" t="s">
        <v>8</v>
      </c>
      <c r="I97" s="252" t="s">
        <v>914</v>
      </c>
    </row>
    <row r="98" spans="1:9" s="249" customFormat="1" ht="24.75" hidden="1" customHeight="1">
      <c r="A98" s="258">
        <v>5</v>
      </c>
      <c r="B98" s="258">
        <v>4</v>
      </c>
      <c r="C98" s="258">
        <v>3</v>
      </c>
      <c r="D98" s="258">
        <v>3</v>
      </c>
      <c r="E98" s="246" t="s">
        <v>208</v>
      </c>
      <c r="F98" s="252" t="s">
        <v>910</v>
      </c>
      <c r="G98" s="253">
        <v>5000000</v>
      </c>
      <c r="H98" s="252" t="s">
        <v>8</v>
      </c>
      <c r="I98" s="252" t="s">
        <v>914</v>
      </c>
    </row>
    <row r="99" spans="1:9" s="249" customFormat="1" ht="36.75" hidden="1" customHeight="1">
      <c r="A99" s="258">
        <v>5</v>
      </c>
      <c r="B99" s="258">
        <v>4</v>
      </c>
      <c r="C99" s="258">
        <v>4</v>
      </c>
      <c r="D99" s="258"/>
      <c r="E99" s="246" t="s">
        <v>210</v>
      </c>
      <c r="F99" s="400" t="s">
        <v>910</v>
      </c>
      <c r="G99" s="407">
        <f>SUM(G100:G106)</f>
        <v>44000000</v>
      </c>
      <c r="H99" s="400" t="s">
        <v>8</v>
      </c>
      <c r="I99" s="400"/>
    </row>
    <row r="100" spans="1:9" s="249" customFormat="1" ht="24" hidden="1" customHeight="1">
      <c r="A100" s="258">
        <v>5</v>
      </c>
      <c r="B100" s="258">
        <v>4</v>
      </c>
      <c r="C100" s="258">
        <v>4</v>
      </c>
      <c r="D100" s="258">
        <v>1</v>
      </c>
      <c r="E100" s="246" t="s">
        <v>325</v>
      </c>
      <c r="F100" s="252" t="s">
        <v>910</v>
      </c>
      <c r="G100" s="253">
        <v>7000000</v>
      </c>
      <c r="H100" s="252" t="s">
        <v>8</v>
      </c>
      <c r="I100" s="252" t="s">
        <v>914</v>
      </c>
    </row>
    <row r="101" spans="1:9" s="249" customFormat="1" ht="24" hidden="1" customHeight="1">
      <c r="A101" s="258">
        <v>5</v>
      </c>
      <c r="B101" s="258">
        <v>4</v>
      </c>
      <c r="C101" s="258">
        <v>4</v>
      </c>
      <c r="D101" s="258">
        <v>2</v>
      </c>
      <c r="E101" s="246" t="s">
        <v>326</v>
      </c>
      <c r="F101" s="252" t="s">
        <v>910</v>
      </c>
      <c r="G101" s="253">
        <v>7000000</v>
      </c>
      <c r="H101" s="252" t="s">
        <v>8</v>
      </c>
      <c r="I101" s="252" t="s">
        <v>914</v>
      </c>
    </row>
    <row r="102" spans="1:9" s="249" customFormat="1" ht="24" hidden="1" customHeight="1">
      <c r="A102" s="258">
        <v>5</v>
      </c>
      <c r="B102" s="258">
        <v>4</v>
      </c>
      <c r="C102" s="258">
        <v>4</v>
      </c>
      <c r="D102" s="258">
        <v>90</v>
      </c>
      <c r="E102" s="246" t="s">
        <v>327</v>
      </c>
      <c r="F102" s="252" t="s">
        <v>910</v>
      </c>
      <c r="G102" s="253">
        <v>4500000</v>
      </c>
      <c r="H102" s="252" t="s">
        <v>8</v>
      </c>
      <c r="I102" s="252" t="s">
        <v>914</v>
      </c>
    </row>
    <row r="103" spans="1:9" s="249" customFormat="1" ht="24" hidden="1" customHeight="1">
      <c r="A103" s="258">
        <v>5</v>
      </c>
      <c r="B103" s="258">
        <v>4</v>
      </c>
      <c r="C103" s="258">
        <v>4</v>
      </c>
      <c r="D103" s="258">
        <v>91</v>
      </c>
      <c r="E103" s="246" t="s">
        <v>213</v>
      </c>
      <c r="F103" s="252" t="s">
        <v>910</v>
      </c>
      <c r="G103" s="253">
        <v>6500000</v>
      </c>
      <c r="H103" s="252" t="s">
        <v>8</v>
      </c>
      <c r="I103" s="252" t="s">
        <v>914</v>
      </c>
    </row>
    <row r="104" spans="1:9" s="249" customFormat="1" ht="24" hidden="1" customHeight="1">
      <c r="A104" s="258">
        <v>5</v>
      </c>
      <c r="B104" s="258">
        <v>4</v>
      </c>
      <c r="C104" s="258">
        <v>4</v>
      </c>
      <c r="D104" s="258">
        <v>92</v>
      </c>
      <c r="E104" s="246" t="s">
        <v>214</v>
      </c>
      <c r="F104" s="252" t="s">
        <v>910</v>
      </c>
      <c r="G104" s="253">
        <v>5500000</v>
      </c>
      <c r="H104" s="252" t="s">
        <v>8</v>
      </c>
      <c r="I104" s="252" t="s">
        <v>914</v>
      </c>
    </row>
    <row r="105" spans="1:9" s="249" customFormat="1" ht="24" hidden="1" customHeight="1">
      <c r="A105" s="258">
        <v>5</v>
      </c>
      <c r="B105" s="258">
        <v>4</v>
      </c>
      <c r="C105" s="258">
        <v>4</v>
      </c>
      <c r="D105" s="258">
        <v>96</v>
      </c>
      <c r="E105" s="246" t="s">
        <v>216</v>
      </c>
      <c r="F105" s="252" t="s">
        <v>910</v>
      </c>
      <c r="G105" s="253">
        <v>6500000</v>
      </c>
      <c r="H105" s="252" t="s">
        <v>8</v>
      </c>
      <c r="I105" s="252" t="s">
        <v>914</v>
      </c>
    </row>
    <row r="106" spans="1:9" s="249" customFormat="1" ht="24" hidden="1" customHeight="1">
      <c r="A106" s="258">
        <v>5</v>
      </c>
      <c r="B106" s="258">
        <v>4</v>
      </c>
      <c r="C106" s="258">
        <v>4</v>
      </c>
      <c r="D106" s="258">
        <v>99</v>
      </c>
      <c r="E106" s="246" t="s">
        <v>328</v>
      </c>
      <c r="F106" s="252" t="s">
        <v>910</v>
      </c>
      <c r="G106" s="253">
        <v>7000000</v>
      </c>
      <c r="H106" s="252" t="s">
        <v>8</v>
      </c>
      <c r="I106" s="252" t="s">
        <v>914</v>
      </c>
    </row>
    <row r="107" spans="1:9" s="249" customFormat="1" ht="24" hidden="1" customHeight="1">
      <c r="A107" s="258">
        <v>5</v>
      </c>
      <c r="B107" s="258">
        <v>4</v>
      </c>
      <c r="C107" s="258">
        <v>6</v>
      </c>
      <c r="D107" s="258"/>
      <c r="E107" s="246" t="s">
        <v>217</v>
      </c>
      <c r="F107" s="400" t="s">
        <v>910</v>
      </c>
      <c r="G107" s="407">
        <f>SUM(G108:G109)</f>
        <v>27000000</v>
      </c>
      <c r="H107" s="400" t="s">
        <v>8</v>
      </c>
      <c r="I107" s="400"/>
    </row>
    <row r="108" spans="1:9" s="249" customFormat="1" ht="24" hidden="1" customHeight="1">
      <c r="A108" s="258">
        <v>5</v>
      </c>
      <c r="B108" s="258">
        <v>4</v>
      </c>
      <c r="C108" s="258">
        <v>6</v>
      </c>
      <c r="D108" s="258">
        <v>1</v>
      </c>
      <c r="E108" s="250" t="s">
        <v>329</v>
      </c>
      <c r="F108" s="247" t="s">
        <v>910</v>
      </c>
      <c r="G108" s="248">
        <v>7000000</v>
      </c>
      <c r="H108" s="247" t="s">
        <v>8</v>
      </c>
      <c r="I108" s="247" t="s">
        <v>914</v>
      </c>
    </row>
    <row r="109" spans="1:9" s="249" customFormat="1" ht="24" hidden="1" customHeight="1">
      <c r="A109" s="258">
        <v>5</v>
      </c>
      <c r="B109" s="258">
        <v>4</v>
      </c>
      <c r="C109" s="258">
        <v>6</v>
      </c>
      <c r="D109" s="258">
        <v>1</v>
      </c>
      <c r="E109" s="250" t="s">
        <v>330</v>
      </c>
      <c r="F109" s="247" t="s">
        <v>910</v>
      </c>
      <c r="G109" s="248">
        <v>20000000</v>
      </c>
      <c r="H109" s="247" t="s">
        <v>8</v>
      </c>
      <c r="I109" s="247" t="s">
        <v>914</v>
      </c>
    </row>
    <row r="110" spans="1:9" s="249" customFormat="1" ht="24" hidden="1" customHeight="1">
      <c r="A110" s="258">
        <v>5</v>
      </c>
      <c r="B110" s="258">
        <v>4</v>
      </c>
      <c r="C110" s="258">
        <v>7</v>
      </c>
      <c r="D110" s="258"/>
      <c r="E110" s="246" t="s">
        <v>331</v>
      </c>
      <c r="F110" s="400" t="s">
        <v>910</v>
      </c>
      <c r="G110" s="407">
        <f>SUM(G111:G111)</f>
        <v>10000000</v>
      </c>
      <c r="H110" s="400" t="s">
        <v>8</v>
      </c>
      <c r="I110" s="400"/>
    </row>
    <row r="111" spans="1:9" s="249" customFormat="1" ht="38.25" hidden="1" customHeight="1">
      <c r="A111" s="258">
        <v>5</v>
      </c>
      <c r="B111" s="258">
        <v>4</v>
      </c>
      <c r="C111" s="258">
        <v>7</v>
      </c>
      <c r="D111" s="258">
        <v>1</v>
      </c>
      <c r="E111" s="251" t="s">
        <v>332</v>
      </c>
      <c r="F111" s="247" t="s">
        <v>910</v>
      </c>
      <c r="G111" s="248">
        <v>10000000</v>
      </c>
      <c r="H111" s="247" t="s">
        <v>8</v>
      </c>
      <c r="I111" s="247" t="s">
        <v>914</v>
      </c>
    </row>
    <row r="112" spans="1:9" s="249" customFormat="1" ht="42" customHeight="1">
      <c r="A112" s="258">
        <v>5</v>
      </c>
      <c r="B112" s="258">
        <v>5</v>
      </c>
      <c r="C112" s="258"/>
      <c r="D112" s="258"/>
      <c r="E112" s="246" t="s">
        <v>219</v>
      </c>
      <c r="F112" s="400"/>
      <c r="G112" s="407">
        <f>G113+G115+G117</f>
        <v>223900000</v>
      </c>
      <c r="H112" s="400"/>
      <c r="I112" s="400"/>
    </row>
    <row r="113" spans="1:9" s="230" customFormat="1" ht="24" hidden="1" customHeight="1">
      <c r="A113" s="260">
        <v>5</v>
      </c>
      <c r="B113" s="260">
        <v>5</v>
      </c>
      <c r="C113" s="260">
        <v>1</v>
      </c>
      <c r="D113" s="260"/>
      <c r="E113" s="256" t="s">
        <v>220</v>
      </c>
      <c r="F113" s="243" t="s">
        <v>910</v>
      </c>
      <c r="G113" s="244">
        <f>SUM(G114)</f>
        <v>20000000</v>
      </c>
      <c r="H113" s="243" t="s">
        <v>8</v>
      </c>
      <c r="I113" s="243"/>
    </row>
    <row r="114" spans="1:9" s="230" customFormat="1" ht="24" hidden="1" customHeight="1">
      <c r="A114" s="258">
        <v>5</v>
      </c>
      <c r="B114" s="258">
        <v>5</v>
      </c>
      <c r="C114" s="258">
        <v>1</v>
      </c>
      <c r="D114" s="258">
        <v>1</v>
      </c>
      <c r="E114" s="250" t="s">
        <v>221</v>
      </c>
      <c r="F114" s="252" t="s">
        <v>910</v>
      </c>
      <c r="G114" s="253">
        <v>20000000</v>
      </c>
      <c r="H114" s="252" t="s">
        <v>8</v>
      </c>
      <c r="I114" s="252" t="s">
        <v>914</v>
      </c>
    </row>
    <row r="115" spans="1:9" s="230" customFormat="1" ht="24" hidden="1" customHeight="1">
      <c r="A115" s="260">
        <v>5</v>
      </c>
      <c r="B115" s="260">
        <v>5</v>
      </c>
      <c r="C115" s="260">
        <v>2</v>
      </c>
      <c r="D115" s="260"/>
      <c r="E115" s="256" t="s">
        <v>222</v>
      </c>
      <c r="F115" s="243" t="s">
        <v>910</v>
      </c>
      <c r="G115" s="244">
        <f>SUM(G116)</f>
        <v>5000000</v>
      </c>
      <c r="H115" s="243" t="s">
        <v>8</v>
      </c>
      <c r="I115" s="243"/>
    </row>
    <row r="116" spans="1:9" s="230" customFormat="1" ht="24" hidden="1" customHeight="1">
      <c r="A116" s="258">
        <v>5</v>
      </c>
      <c r="B116" s="258">
        <v>5</v>
      </c>
      <c r="C116" s="258">
        <v>2</v>
      </c>
      <c r="D116" s="258">
        <v>1</v>
      </c>
      <c r="E116" s="250" t="s">
        <v>223</v>
      </c>
      <c r="F116" s="307" t="s">
        <v>910</v>
      </c>
      <c r="G116" s="253">
        <v>5000000</v>
      </c>
      <c r="H116" s="252" t="s">
        <v>8</v>
      </c>
      <c r="I116" s="252" t="s">
        <v>914</v>
      </c>
    </row>
    <row r="117" spans="1:9" s="230" customFormat="1" ht="24" hidden="1" customHeight="1">
      <c r="A117" s="260">
        <v>5</v>
      </c>
      <c r="B117" s="260">
        <v>5</v>
      </c>
      <c r="C117" s="260">
        <v>3</v>
      </c>
      <c r="D117" s="260"/>
      <c r="E117" s="256" t="s">
        <v>224</v>
      </c>
      <c r="F117" s="243" t="s">
        <v>910</v>
      </c>
      <c r="G117" s="244">
        <f>SUM(G118)</f>
        <v>198900000</v>
      </c>
      <c r="H117" s="243" t="s">
        <v>8</v>
      </c>
      <c r="I117" s="243"/>
    </row>
    <row r="118" spans="1:9" s="230" customFormat="1" ht="24" hidden="1" customHeight="1">
      <c r="A118" s="258">
        <v>5</v>
      </c>
      <c r="B118" s="258">
        <v>5</v>
      </c>
      <c r="C118" s="258">
        <v>3</v>
      </c>
      <c r="D118" s="258">
        <v>1</v>
      </c>
      <c r="E118" s="250" t="s">
        <v>333</v>
      </c>
      <c r="F118" s="307" t="s">
        <v>910</v>
      </c>
      <c r="G118" s="253">
        <v>198900000</v>
      </c>
      <c r="H118" s="252" t="s">
        <v>8</v>
      </c>
      <c r="I118" s="252" t="s">
        <v>914</v>
      </c>
    </row>
    <row r="119" spans="1:9" s="215" customFormat="1" ht="24" customHeight="1">
      <c r="A119" s="714" t="s">
        <v>334</v>
      </c>
      <c r="B119" s="714"/>
      <c r="C119" s="714"/>
      <c r="D119" s="714"/>
      <c r="E119" s="714"/>
      <c r="F119" s="308"/>
      <c r="G119" s="308">
        <f>G10</f>
        <v>2417326700</v>
      </c>
      <c r="H119" s="308"/>
      <c r="I119" s="308"/>
    </row>
    <row r="120" spans="1:9" s="230" customFormat="1" ht="15.75">
      <c r="A120" s="309"/>
      <c r="B120" s="309"/>
      <c r="C120" s="309"/>
      <c r="D120" s="309"/>
      <c r="E120" s="310"/>
      <c r="F120" s="311"/>
      <c r="G120" s="310"/>
      <c r="H120" s="309"/>
      <c r="I120" s="309"/>
    </row>
    <row r="121" spans="1:9" s="230" customFormat="1" ht="15.75">
      <c r="A121" s="312"/>
      <c r="B121" s="312"/>
      <c r="C121" s="312"/>
      <c r="D121" s="312"/>
      <c r="E121" s="312"/>
      <c r="F121" s="313"/>
      <c r="G121" s="310" t="s">
        <v>1008</v>
      </c>
      <c r="H121" s="309" t="s">
        <v>949</v>
      </c>
      <c r="I121" s="309"/>
    </row>
    <row r="122" spans="1:9" s="230" customFormat="1" ht="15.75">
      <c r="A122" s="312"/>
      <c r="B122" s="312"/>
      <c r="C122" s="312"/>
      <c r="D122" s="312"/>
      <c r="E122" s="312"/>
      <c r="F122" s="311"/>
      <c r="G122" s="310" t="s">
        <v>336</v>
      </c>
      <c r="H122" s="314" t="s">
        <v>336</v>
      </c>
      <c r="I122" s="309"/>
    </row>
    <row r="123" spans="1:9" s="230" customFormat="1" ht="15.75">
      <c r="A123" s="312"/>
      <c r="B123" s="312"/>
      <c r="C123" s="312"/>
      <c r="D123" s="312"/>
      <c r="E123" s="312"/>
      <c r="F123" s="311"/>
      <c r="G123" s="310"/>
      <c r="H123" s="309"/>
      <c r="I123" s="309"/>
    </row>
    <row r="124" spans="1:9" s="230" customFormat="1" ht="15.75">
      <c r="A124" s="312"/>
      <c r="B124" s="312"/>
      <c r="C124" s="312"/>
      <c r="D124" s="312"/>
      <c r="E124" s="312"/>
      <c r="F124" s="311"/>
      <c r="G124" s="310"/>
      <c r="H124" s="309"/>
      <c r="I124" s="309"/>
    </row>
    <row r="125" spans="1:9" s="230" customFormat="1" ht="15.75">
      <c r="A125" s="312"/>
      <c r="B125" s="312"/>
      <c r="C125" s="312"/>
      <c r="D125" s="312"/>
      <c r="E125" s="312"/>
      <c r="F125" s="311"/>
      <c r="G125" s="310"/>
      <c r="H125" s="309"/>
      <c r="I125" s="309"/>
    </row>
    <row r="126" spans="1:9" s="230" customFormat="1" ht="15.75">
      <c r="A126" s="312"/>
      <c r="B126" s="312"/>
      <c r="C126" s="312"/>
      <c r="D126" s="312"/>
      <c r="E126" s="312"/>
      <c r="F126" s="311"/>
      <c r="G126" s="399" t="s">
        <v>35</v>
      </c>
      <c r="H126" s="309" t="s">
        <v>35</v>
      </c>
      <c r="I126" s="309"/>
    </row>
  </sheetData>
  <mergeCells count="10">
    <mergeCell ref="A9:D9"/>
    <mergeCell ref="A119:E119"/>
    <mergeCell ref="A1:I1"/>
    <mergeCell ref="A2:I2"/>
    <mergeCell ref="A7:D8"/>
    <mergeCell ref="E7:E8"/>
    <mergeCell ref="F7:F8"/>
    <mergeCell ref="G7:G8"/>
    <mergeCell ref="H7:H8"/>
    <mergeCell ref="I7:I8"/>
  </mergeCells>
  <pageMargins left="0.70866141732283505" right="0.39" top="0.74803149606299202" bottom="0.74803149606299202" header="0.31496062992126" footer="0.31496062992126"/>
  <pageSetup paperSize="300" scale="4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5"/>
  <sheetViews>
    <sheetView view="pageBreakPreview" topLeftCell="A60" zoomScale="90" zoomScaleNormal="80" zoomScaleSheetLayoutView="90" workbookViewId="0">
      <selection activeCell="B70" sqref="B70"/>
    </sheetView>
  </sheetViews>
  <sheetFormatPr defaultRowHeight="15.75"/>
  <cols>
    <col min="1" max="1" width="11.28515625" style="25" customWidth="1"/>
    <col min="2" max="2" width="8.7109375" style="1" customWidth="1"/>
    <col min="3" max="3" width="6.5703125" style="1" hidden="1" customWidth="1"/>
    <col min="4" max="4" width="94.5703125" style="1" customWidth="1"/>
    <col min="5" max="6" width="9.140625" style="1"/>
    <col min="7" max="7" width="19.28515625" style="26" customWidth="1"/>
    <col min="8" max="8" width="14.7109375" style="1" customWidth="1"/>
    <col min="9" max="16384" width="9.140625" style="1"/>
  </cols>
  <sheetData>
    <row r="1" spans="1:9" ht="20.25">
      <c r="A1" s="741" t="s">
        <v>941</v>
      </c>
      <c r="B1" s="741"/>
      <c r="C1" s="741"/>
      <c r="D1" s="741"/>
      <c r="E1" s="741"/>
      <c r="F1" s="741"/>
      <c r="G1" s="741"/>
      <c r="H1" s="741"/>
      <c r="I1" s="741"/>
    </row>
    <row r="2" spans="1:9" ht="20.25">
      <c r="A2" s="741" t="s">
        <v>942</v>
      </c>
      <c r="B2" s="741"/>
      <c r="C2" s="741"/>
      <c r="D2" s="741"/>
      <c r="E2" s="741"/>
      <c r="F2" s="741"/>
      <c r="G2" s="741"/>
      <c r="H2" s="741"/>
      <c r="I2" s="741"/>
    </row>
    <row r="3" spans="1:9" s="2" customFormat="1" ht="22.5" customHeight="1">
      <c r="A3" s="742" t="s">
        <v>0</v>
      </c>
      <c r="B3" s="742"/>
      <c r="C3" s="742"/>
      <c r="D3" s="2" t="s">
        <v>1</v>
      </c>
      <c r="E3" s="2" t="s">
        <v>61</v>
      </c>
      <c r="G3" s="743" t="s">
        <v>62</v>
      </c>
      <c r="H3" s="743"/>
      <c r="I3" s="743"/>
    </row>
    <row r="4" spans="1:9" s="2" customFormat="1" ht="22.5" customHeight="1">
      <c r="A4" s="742" t="s">
        <v>2</v>
      </c>
      <c r="B4" s="742"/>
      <c r="C4" s="742"/>
      <c r="D4" s="2" t="s">
        <v>3</v>
      </c>
      <c r="E4" s="2" t="s">
        <v>63</v>
      </c>
      <c r="G4" s="743" t="s">
        <v>64</v>
      </c>
      <c r="H4" s="743"/>
      <c r="I4" s="743"/>
    </row>
    <row r="6" spans="1:9" s="7" customFormat="1" ht="33.75" customHeight="1">
      <c r="A6" s="3" t="s">
        <v>65</v>
      </c>
      <c r="B6" s="744" t="s">
        <v>66</v>
      </c>
      <c r="C6" s="744"/>
      <c r="D6" s="744"/>
      <c r="E6" s="744" t="s">
        <v>5</v>
      </c>
      <c r="F6" s="744"/>
      <c r="G6" s="4" t="s">
        <v>67</v>
      </c>
      <c r="H6" s="5" t="s">
        <v>68</v>
      </c>
      <c r="I6" s="6" t="s">
        <v>69</v>
      </c>
    </row>
    <row r="7" spans="1:9" s="12" customFormat="1" ht="30.75" customHeight="1">
      <c r="A7" s="8">
        <v>1</v>
      </c>
      <c r="B7" s="9" t="s">
        <v>70</v>
      </c>
      <c r="C7" s="10"/>
      <c r="D7" s="10"/>
      <c r="E7" s="10"/>
      <c r="F7" s="10"/>
      <c r="G7" s="11"/>
      <c r="H7" s="10"/>
      <c r="I7" s="10"/>
    </row>
    <row r="8" spans="1:9" ht="21.75" customHeight="1">
      <c r="A8" s="13">
        <v>101</v>
      </c>
      <c r="B8" s="14" t="s">
        <v>71</v>
      </c>
      <c r="C8" s="15"/>
      <c r="D8" s="15"/>
      <c r="E8" s="15"/>
      <c r="F8" s="15"/>
      <c r="G8" s="16"/>
      <c r="H8" s="15"/>
      <c r="I8" s="15"/>
    </row>
    <row r="9" spans="1:9" ht="21.75" customHeight="1">
      <c r="A9" s="17">
        <v>10101</v>
      </c>
      <c r="B9" s="18" t="s">
        <v>7</v>
      </c>
      <c r="C9" s="15"/>
      <c r="D9" s="15"/>
      <c r="E9" s="15"/>
      <c r="F9" s="15"/>
      <c r="G9" s="16"/>
      <c r="H9" s="15"/>
      <c r="I9" s="15" t="s">
        <v>1011</v>
      </c>
    </row>
    <row r="10" spans="1:9" ht="21.75" customHeight="1">
      <c r="A10" s="17">
        <v>10102</v>
      </c>
      <c r="B10" s="18" t="s">
        <v>10</v>
      </c>
      <c r="C10" s="15"/>
      <c r="D10" s="15"/>
      <c r="E10" s="15"/>
      <c r="F10" s="15"/>
      <c r="G10" s="16"/>
      <c r="H10" s="15"/>
      <c r="I10" s="15" t="s">
        <v>1011</v>
      </c>
    </row>
    <row r="11" spans="1:9" ht="21.75" customHeight="1">
      <c r="A11" s="17">
        <v>10103</v>
      </c>
      <c r="B11" s="18" t="s">
        <v>11</v>
      </c>
      <c r="C11" s="15"/>
      <c r="D11" s="15"/>
      <c r="E11" s="15"/>
      <c r="F11" s="15"/>
      <c r="G11" s="16"/>
      <c r="H11" s="15"/>
      <c r="I11" s="15" t="s">
        <v>1011</v>
      </c>
    </row>
    <row r="12" spans="1:9" ht="21.75" customHeight="1">
      <c r="A12" s="17">
        <v>10104</v>
      </c>
      <c r="B12" s="18" t="s">
        <v>72</v>
      </c>
      <c r="C12" s="15"/>
      <c r="D12" s="15"/>
      <c r="E12" s="15"/>
      <c r="F12" s="15"/>
      <c r="G12" s="16"/>
      <c r="H12" s="15"/>
      <c r="I12" s="15" t="s">
        <v>1011</v>
      </c>
    </row>
    <row r="13" spans="1:9" ht="21.75" customHeight="1">
      <c r="A13" s="17">
        <v>10105</v>
      </c>
      <c r="B13" s="18" t="s">
        <v>13</v>
      </c>
      <c r="C13" s="15"/>
      <c r="D13" s="15"/>
      <c r="E13" s="15"/>
      <c r="F13" s="15"/>
      <c r="G13" s="16"/>
      <c r="H13" s="15"/>
      <c r="I13" s="15" t="s">
        <v>1011</v>
      </c>
    </row>
    <row r="14" spans="1:9" ht="29.25" customHeight="1">
      <c r="A14" s="17">
        <v>10106</v>
      </c>
      <c r="B14" s="734" t="s">
        <v>73</v>
      </c>
      <c r="C14" s="735"/>
      <c r="D14" s="736"/>
      <c r="E14" s="15"/>
      <c r="F14" s="15"/>
      <c r="G14" s="16"/>
      <c r="H14" s="15"/>
      <c r="I14" s="15" t="s">
        <v>1011</v>
      </c>
    </row>
    <row r="15" spans="1:9" ht="21.75" customHeight="1">
      <c r="A15" s="17">
        <v>10107</v>
      </c>
      <c r="B15" s="18" t="s">
        <v>14</v>
      </c>
      <c r="C15" s="15"/>
      <c r="D15" s="15"/>
      <c r="E15" s="15"/>
      <c r="F15" s="15"/>
      <c r="G15" s="16"/>
      <c r="H15" s="15"/>
      <c r="I15" s="15" t="s">
        <v>1011</v>
      </c>
    </row>
    <row r="16" spans="1:9" ht="21.75" customHeight="1">
      <c r="A16" s="17">
        <v>10199</v>
      </c>
      <c r="B16" s="18" t="s">
        <v>74</v>
      </c>
      <c r="C16" s="15"/>
      <c r="D16" s="15"/>
      <c r="E16" s="15"/>
      <c r="F16" s="15"/>
      <c r="G16" s="16"/>
      <c r="H16" s="15"/>
      <c r="I16" s="15"/>
    </row>
    <row r="17" spans="1:9" ht="21.75" customHeight="1">
      <c r="A17" s="13">
        <v>102</v>
      </c>
      <c r="B17" s="14" t="s">
        <v>75</v>
      </c>
      <c r="C17" s="15"/>
      <c r="D17" s="15"/>
      <c r="E17" s="15"/>
      <c r="F17" s="15"/>
      <c r="G17" s="16"/>
      <c r="H17" s="15"/>
      <c r="I17" s="15"/>
    </row>
    <row r="18" spans="1:9" ht="21.75" customHeight="1">
      <c r="A18" s="17">
        <v>10201</v>
      </c>
      <c r="B18" s="18" t="s">
        <v>76</v>
      </c>
      <c r="C18" s="15"/>
      <c r="D18" s="15"/>
      <c r="E18" s="15"/>
      <c r="F18" s="15"/>
      <c r="G18" s="16"/>
      <c r="H18" s="15"/>
      <c r="I18" s="15"/>
    </row>
    <row r="19" spans="1:9" ht="21.75" customHeight="1">
      <c r="A19" s="17">
        <v>10202</v>
      </c>
      <c r="B19" s="18" t="s">
        <v>15</v>
      </c>
      <c r="C19" s="15"/>
      <c r="D19" s="15"/>
      <c r="E19" s="15"/>
      <c r="F19" s="15"/>
      <c r="G19" s="16"/>
      <c r="H19" s="15"/>
      <c r="I19" s="15"/>
    </row>
    <row r="20" spans="1:9" ht="21.75" customHeight="1">
      <c r="A20" s="17">
        <v>10203</v>
      </c>
      <c r="B20" s="18" t="s">
        <v>77</v>
      </c>
      <c r="C20" s="15"/>
      <c r="D20" s="15"/>
      <c r="E20" s="15"/>
      <c r="F20" s="15"/>
      <c r="G20" s="16"/>
      <c r="H20" s="15"/>
      <c r="I20" s="15"/>
    </row>
    <row r="21" spans="1:9" ht="21.75" customHeight="1">
      <c r="A21" s="17">
        <v>10290</v>
      </c>
      <c r="B21" s="18" t="s">
        <v>78</v>
      </c>
      <c r="C21" s="15"/>
      <c r="D21" s="15"/>
      <c r="E21" s="15"/>
      <c r="F21" s="15"/>
      <c r="G21" s="16"/>
      <c r="H21" s="15"/>
      <c r="I21" s="15"/>
    </row>
    <row r="22" spans="1:9" ht="21.75" customHeight="1">
      <c r="A22" s="17">
        <v>10291</v>
      </c>
      <c r="B22" s="18" t="s">
        <v>79</v>
      </c>
      <c r="C22" s="15"/>
      <c r="D22" s="15"/>
      <c r="E22" s="15"/>
      <c r="F22" s="15"/>
      <c r="G22" s="16"/>
      <c r="H22" s="15"/>
      <c r="I22" s="15"/>
    </row>
    <row r="23" spans="1:9" ht="21.75" customHeight="1">
      <c r="A23" s="17">
        <v>10292</v>
      </c>
      <c r="B23" s="18" t="s">
        <v>80</v>
      </c>
      <c r="C23" s="15"/>
      <c r="D23" s="15"/>
      <c r="E23" s="15"/>
      <c r="F23" s="15"/>
      <c r="G23" s="16"/>
      <c r="H23" s="15"/>
      <c r="I23" s="15"/>
    </row>
    <row r="24" spans="1:9" ht="21.75" customHeight="1">
      <c r="A24" s="17">
        <v>10294</v>
      </c>
      <c r="B24" s="18" t="s">
        <v>81</v>
      </c>
      <c r="C24" s="15"/>
      <c r="D24" s="15"/>
      <c r="E24" s="15"/>
      <c r="F24" s="15"/>
      <c r="G24" s="16"/>
      <c r="H24" s="15"/>
      <c r="I24" s="15"/>
    </row>
    <row r="25" spans="1:9" ht="21.75" customHeight="1">
      <c r="A25" s="17">
        <v>10295</v>
      </c>
      <c r="B25" s="18" t="s">
        <v>82</v>
      </c>
      <c r="C25" s="15"/>
      <c r="D25" s="15"/>
      <c r="E25" s="15"/>
      <c r="F25" s="15"/>
      <c r="G25" s="16"/>
      <c r="H25" s="15"/>
      <c r="I25" s="15"/>
    </row>
    <row r="26" spans="1:9" ht="21.75" customHeight="1">
      <c r="A26" s="17">
        <v>10299</v>
      </c>
      <c r="B26" s="18" t="s">
        <v>83</v>
      </c>
      <c r="C26" s="15"/>
      <c r="D26" s="15"/>
      <c r="E26" s="15"/>
      <c r="F26" s="15"/>
      <c r="G26" s="16"/>
      <c r="H26" s="15"/>
      <c r="I26" s="15"/>
    </row>
    <row r="27" spans="1:9" ht="33" customHeight="1">
      <c r="A27" s="13">
        <v>103</v>
      </c>
      <c r="B27" s="745" t="s">
        <v>84</v>
      </c>
      <c r="C27" s="746"/>
      <c r="D27" s="747"/>
      <c r="E27" s="15"/>
      <c r="F27" s="15"/>
      <c r="G27" s="16"/>
      <c r="H27" s="15"/>
      <c r="I27" s="15"/>
    </row>
    <row r="28" spans="1:9" ht="21.75" customHeight="1">
      <c r="A28" s="17">
        <v>10301</v>
      </c>
      <c r="B28" s="18" t="s">
        <v>85</v>
      </c>
      <c r="C28" s="15"/>
      <c r="D28" s="19"/>
      <c r="E28" s="15"/>
      <c r="F28" s="15"/>
      <c r="G28" s="16"/>
      <c r="H28" s="15"/>
      <c r="I28" s="15" t="s">
        <v>1011</v>
      </c>
    </row>
    <row r="29" spans="1:9" ht="21.75" customHeight="1">
      <c r="A29" s="17">
        <v>10302</v>
      </c>
      <c r="B29" s="18" t="s">
        <v>86</v>
      </c>
      <c r="C29" s="15"/>
      <c r="D29" s="15"/>
      <c r="E29" s="15"/>
      <c r="F29" s="15"/>
      <c r="G29" s="16"/>
      <c r="H29" s="15"/>
      <c r="I29" s="15" t="s">
        <v>1011</v>
      </c>
    </row>
    <row r="30" spans="1:9" ht="21.75" customHeight="1">
      <c r="A30" s="17">
        <v>10303</v>
      </c>
      <c r="B30" s="18" t="s">
        <v>87</v>
      </c>
      <c r="C30" s="15"/>
      <c r="D30" s="15"/>
      <c r="E30" s="15"/>
      <c r="F30" s="15"/>
      <c r="G30" s="16"/>
      <c r="H30" s="15"/>
      <c r="I30" s="15" t="s">
        <v>1011</v>
      </c>
    </row>
    <row r="31" spans="1:9" ht="21.75" customHeight="1">
      <c r="A31" s="17">
        <v>10390</v>
      </c>
      <c r="B31" s="18" t="s">
        <v>47</v>
      </c>
      <c r="C31" s="15"/>
      <c r="D31" s="15"/>
      <c r="E31" s="15"/>
      <c r="F31" s="15"/>
      <c r="G31" s="16"/>
      <c r="H31" s="15"/>
      <c r="I31" s="15" t="s">
        <v>1011</v>
      </c>
    </row>
    <row r="32" spans="1:9" ht="21.75" customHeight="1">
      <c r="A32" s="17">
        <v>10391</v>
      </c>
      <c r="B32" s="18" t="s">
        <v>88</v>
      </c>
      <c r="C32" s="15"/>
      <c r="D32" s="15"/>
      <c r="E32" s="15"/>
      <c r="F32" s="15"/>
      <c r="G32" s="16"/>
      <c r="H32" s="15"/>
      <c r="I32" s="15" t="s">
        <v>1011</v>
      </c>
    </row>
    <row r="33" spans="1:9" ht="21.75" customHeight="1">
      <c r="A33" s="17">
        <v>10399</v>
      </c>
      <c r="B33" s="18" t="s">
        <v>89</v>
      </c>
      <c r="C33" s="15"/>
      <c r="D33" s="15"/>
      <c r="E33" s="15"/>
      <c r="F33" s="15"/>
      <c r="G33" s="16"/>
      <c r="H33" s="15"/>
      <c r="I33" s="15"/>
    </row>
    <row r="34" spans="1:9" ht="33" customHeight="1">
      <c r="A34" s="13">
        <v>104</v>
      </c>
      <c r="B34" s="745" t="s">
        <v>90</v>
      </c>
      <c r="C34" s="746"/>
      <c r="D34" s="747"/>
      <c r="E34" s="15"/>
      <c r="F34" s="15"/>
      <c r="G34" s="16"/>
      <c r="H34" s="15"/>
      <c r="I34" s="15"/>
    </row>
    <row r="35" spans="1:9" ht="21.75" customHeight="1">
      <c r="A35" s="17">
        <v>10401</v>
      </c>
      <c r="B35" s="18" t="s">
        <v>91</v>
      </c>
      <c r="C35" s="15"/>
      <c r="D35" s="15"/>
      <c r="E35" s="15"/>
      <c r="F35" s="15"/>
      <c r="G35" s="16"/>
      <c r="H35" s="15"/>
      <c r="I35" s="15" t="s">
        <v>1011</v>
      </c>
    </row>
    <row r="36" spans="1:9" ht="21.75" customHeight="1">
      <c r="A36" s="17">
        <v>10402</v>
      </c>
      <c r="B36" s="18" t="s">
        <v>92</v>
      </c>
      <c r="C36" s="15"/>
      <c r="D36" s="15"/>
      <c r="E36" s="15"/>
      <c r="F36" s="15"/>
      <c r="G36" s="16"/>
      <c r="H36" s="15"/>
      <c r="I36" s="15" t="s">
        <v>1011</v>
      </c>
    </row>
    <row r="37" spans="1:9" ht="21.75" customHeight="1">
      <c r="A37" s="17">
        <v>10403</v>
      </c>
      <c r="B37" s="18" t="s">
        <v>93</v>
      </c>
      <c r="C37" s="15"/>
      <c r="D37" s="15"/>
      <c r="E37" s="15"/>
      <c r="F37" s="15"/>
      <c r="G37" s="16"/>
      <c r="H37" s="15"/>
      <c r="I37" s="15" t="s">
        <v>1011</v>
      </c>
    </row>
    <row r="38" spans="1:9" ht="21.75" customHeight="1">
      <c r="A38" s="17">
        <v>10404</v>
      </c>
      <c r="B38" s="18" t="s">
        <v>94</v>
      </c>
      <c r="C38" s="15"/>
      <c r="D38" s="15"/>
      <c r="E38" s="15"/>
      <c r="F38" s="15"/>
      <c r="G38" s="16"/>
      <c r="H38" s="15"/>
      <c r="I38" s="15" t="s">
        <v>1011</v>
      </c>
    </row>
    <row r="39" spans="1:9" ht="21.75" customHeight="1">
      <c r="A39" s="17">
        <v>10405</v>
      </c>
      <c r="B39" s="18" t="s">
        <v>95</v>
      </c>
      <c r="C39" s="15"/>
      <c r="D39" s="15"/>
      <c r="E39" s="15"/>
      <c r="F39" s="15"/>
      <c r="G39" s="16"/>
      <c r="H39" s="15"/>
      <c r="I39" s="15" t="s">
        <v>1011</v>
      </c>
    </row>
    <row r="40" spans="1:9" ht="21.75" customHeight="1">
      <c r="A40" s="17">
        <v>10406</v>
      </c>
      <c r="B40" s="18" t="s">
        <v>96</v>
      </c>
      <c r="C40" s="15"/>
      <c r="D40" s="15"/>
      <c r="E40" s="15"/>
      <c r="F40" s="15"/>
      <c r="G40" s="16"/>
      <c r="H40" s="15"/>
      <c r="I40" s="15"/>
    </row>
    <row r="41" spans="1:9" ht="21.75" customHeight="1">
      <c r="A41" s="17">
        <v>10407</v>
      </c>
      <c r="B41" s="18" t="s">
        <v>97</v>
      </c>
      <c r="C41" s="15"/>
      <c r="D41" s="15"/>
      <c r="E41" s="15"/>
      <c r="F41" s="15"/>
      <c r="G41" s="16"/>
      <c r="H41" s="15"/>
      <c r="I41" s="15" t="s">
        <v>1011</v>
      </c>
    </row>
    <row r="42" spans="1:9" ht="21.75" customHeight="1">
      <c r="A42" s="17">
        <v>10408</v>
      </c>
      <c r="B42" s="18" t="s">
        <v>98</v>
      </c>
      <c r="C42" s="15"/>
      <c r="D42" s="15"/>
      <c r="E42" s="15"/>
      <c r="F42" s="15"/>
      <c r="G42" s="16"/>
      <c r="H42" s="15"/>
      <c r="I42" s="15" t="s">
        <v>1011</v>
      </c>
    </row>
    <row r="43" spans="1:9" ht="21.75" customHeight="1">
      <c r="A43" s="17">
        <v>10490</v>
      </c>
      <c r="B43" s="18" t="s">
        <v>101</v>
      </c>
      <c r="C43" s="15"/>
      <c r="D43" s="15"/>
      <c r="E43" s="15"/>
      <c r="F43" s="15"/>
      <c r="G43" s="16"/>
      <c r="H43" s="15"/>
      <c r="I43" s="15" t="s">
        <v>1011</v>
      </c>
    </row>
    <row r="44" spans="1:9" ht="21.75" customHeight="1">
      <c r="A44" s="17">
        <v>10491</v>
      </c>
      <c r="B44" s="345" t="s">
        <v>52</v>
      </c>
      <c r="C44" s="343" t="s">
        <v>52</v>
      </c>
      <c r="D44" s="344"/>
      <c r="E44" s="15"/>
      <c r="F44" s="15"/>
      <c r="G44" s="16"/>
      <c r="H44" s="15"/>
      <c r="I44" s="15" t="s">
        <v>1011</v>
      </c>
    </row>
    <row r="45" spans="1:9" ht="21.75" customHeight="1">
      <c r="A45" s="17">
        <v>10492</v>
      </c>
      <c r="B45" s="345" t="s">
        <v>402</v>
      </c>
      <c r="C45" s="343" t="s">
        <v>402</v>
      </c>
      <c r="D45" s="344"/>
      <c r="E45" s="15"/>
      <c r="F45" s="15"/>
      <c r="G45" s="16"/>
      <c r="H45" s="15"/>
      <c r="I45" s="15" t="s">
        <v>1011</v>
      </c>
    </row>
    <row r="46" spans="1:9" ht="21.75" customHeight="1">
      <c r="A46" s="17">
        <v>10494</v>
      </c>
      <c r="B46" s="18" t="s">
        <v>103</v>
      </c>
      <c r="C46" s="15"/>
      <c r="D46" s="15"/>
      <c r="E46" s="15"/>
      <c r="F46" s="15"/>
      <c r="G46" s="16"/>
      <c r="H46" s="15"/>
      <c r="I46" s="15"/>
    </row>
    <row r="47" spans="1:9" ht="21.75" customHeight="1">
      <c r="A47" s="17">
        <v>10495</v>
      </c>
      <c r="B47" s="18" t="s">
        <v>104</v>
      </c>
      <c r="C47" s="15"/>
      <c r="D47" s="15"/>
      <c r="E47" s="15"/>
      <c r="F47" s="15"/>
      <c r="G47" s="16"/>
      <c r="H47" s="15"/>
      <c r="I47" s="15"/>
    </row>
    <row r="48" spans="1:9" ht="21.75" customHeight="1">
      <c r="A48" s="17">
        <v>10496</v>
      </c>
      <c r="B48" s="18" t="s">
        <v>105</v>
      </c>
      <c r="C48" s="15"/>
      <c r="D48" s="15"/>
      <c r="E48" s="15"/>
      <c r="F48" s="15"/>
      <c r="G48" s="16"/>
      <c r="H48" s="15"/>
      <c r="I48" s="15"/>
    </row>
    <row r="49" spans="1:9" ht="21.75" customHeight="1">
      <c r="A49" s="17">
        <v>10499</v>
      </c>
      <c r="B49" s="18" t="s">
        <v>106</v>
      </c>
      <c r="C49" s="15"/>
      <c r="D49" s="15"/>
      <c r="E49" s="15"/>
      <c r="F49" s="15"/>
      <c r="G49" s="16"/>
      <c r="H49" s="15"/>
      <c r="I49" s="15"/>
    </row>
    <row r="50" spans="1:9" ht="21.75" customHeight="1">
      <c r="A50" s="13">
        <v>105</v>
      </c>
      <c r="B50" s="14" t="s">
        <v>17</v>
      </c>
      <c r="C50" s="15"/>
      <c r="D50" s="15"/>
      <c r="E50" s="15"/>
      <c r="F50" s="15"/>
      <c r="G50" s="16"/>
      <c r="H50" s="15"/>
      <c r="I50" s="15"/>
    </row>
    <row r="51" spans="1:9" ht="21.75" customHeight="1">
      <c r="A51" s="17">
        <v>10501</v>
      </c>
      <c r="B51" s="18" t="s">
        <v>107</v>
      </c>
      <c r="C51" s="15"/>
      <c r="D51" s="15"/>
      <c r="E51" s="15"/>
      <c r="F51" s="15"/>
      <c r="G51" s="16"/>
      <c r="H51" s="15"/>
      <c r="I51" s="15"/>
    </row>
    <row r="52" spans="1:9" ht="32.25" customHeight="1">
      <c r="A52" s="17">
        <v>10502</v>
      </c>
      <c r="B52" s="734" t="s">
        <v>108</v>
      </c>
      <c r="C52" s="735"/>
      <c r="D52" s="736"/>
      <c r="E52" s="15"/>
      <c r="F52" s="15"/>
      <c r="G52" s="16"/>
      <c r="H52" s="15"/>
      <c r="I52" s="15"/>
    </row>
    <row r="53" spans="1:9" ht="21.75" customHeight="1">
      <c r="A53" s="17">
        <v>10590</v>
      </c>
      <c r="B53" s="18" t="s">
        <v>111</v>
      </c>
      <c r="C53" s="15"/>
      <c r="D53" s="15"/>
      <c r="E53" s="15"/>
      <c r="F53" s="15"/>
      <c r="G53" s="16"/>
      <c r="H53" s="15"/>
      <c r="I53" s="15"/>
    </row>
    <row r="54" spans="1:9" ht="21.75" customHeight="1">
      <c r="A54" s="17">
        <v>10594</v>
      </c>
      <c r="B54" s="18" t="s">
        <v>51</v>
      </c>
      <c r="C54" s="15"/>
      <c r="D54" s="15"/>
      <c r="E54" s="15"/>
      <c r="F54" s="15"/>
      <c r="G54" s="16"/>
      <c r="H54" s="15"/>
      <c r="I54" s="15" t="s">
        <v>1011</v>
      </c>
    </row>
    <row r="55" spans="1:9" ht="21.75" customHeight="1">
      <c r="A55" s="17">
        <v>10599</v>
      </c>
      <c r="B55" s="18" t="s">
        <v>114</v>
      </c>
      <c r="C55" s="15"/>
      <c r="D55" s="15"/>
      <c r="E55" s="15"/>
      <c r="F55" s="15"/>
      <c r="G55" s="16"/>
      <c r="H55" s="15"/>
      <c r="I55" s="15"/>
    </row>
    <row r="56" spans="1:9" s="12" customFormat="1" ht="21.75" customHeight="1">
      <c r="A56" s="8">
        <v>2</v>
      </c>
      <c r="B56" s="9" t="s">
        <v>115</v>
      </c>
      <c r="C56" s="10"/>
      <c r="D56" s="10"/>
      <c r="E56" s="10"/>
      <c r="F56" s="10"/>
      <c r="G56" s="11"/>
      <c r="H56" s="10"/>
      <c r="I56" s="10"/>
    </row>
    <row r="57" spans="1:9" ht="21.75" customHeight="1">
      <c r="A57" s="13">
        <v>201</v>
      </c>
      <c r="B57" s="14" t="s">
        <v>20</v>
      </c>
      <c r="C57" s="15"/>
      <c r="D57" s="15"/>
      <c r="E57" s="15"/>
      <c r="F57" s="15"/>
      <c r="G57" s="16"/>
      <c r="H57" s="15"/>
      <c r="I57" s="15"/>
    </row>
    <row r="58" spans="1:9" ht="29.25" customHeight="1">
      <c r="A58" s="17">
        <v>20101</v>
      </c>
      <c r="B58" s="734" t="s">
        <v>116</v>
      </c>
      <c r="C58" s="735"/>
      <c r="D58" s="736"/>
      <c r="E58" s="15"/>
      <c r="F58" s="15"/>
      <c r="G58" s="16"/>
      <c r="H58" s="15"/>
      <c r="I58" s="15"/>
    </row>
    <row r="59" spans="1:9" ht="21.75" customHeight="1">
      <c r="A59" s="17">
        <v>20102</v>
      </c>
      <c r="B59" s="18" t="s">
        <v>117</v>
      </c>
      <c r="C59" s="15"/>
      <c r="D59" s="15"/>
      <c r="E59" s="15"/>
      <c r="F59" s="15"/>
      <c r="G59" s="16"/>
      <c r="H59" s="15"/>
      <c r="I59" s="15"/>
    </row>
    <row r="60" spans="1:9" ht="32.25" customHeight="1">
      <c r="A60" s="17">
        <v>20105</v>
      </c>
      <c r="B60" s="734" t="s">
        <v>118</v>
      </c>
      <c r="C60" s="735"/>
      <c r="D60" s="736"/>
      <c r="E60" s="15"/>
      <c r="F60" s="15"/>
      <c r="G60" s="16"/>
      <c r="H60" s="15"/>
      <c r="I60" s="15"/>
    </row>
    <row r="61" spans="1:9" ht="21.75" customHeight="1">
      <c r="A61" s="17">
        <v>20108</v>
      </c>
      <c r="B61" s="18" t="s">
        <v>120</v>
      </c>
      <c r="C61" s="15"/>
      <c r="D61" s="15"/>
      <c r="E61" s="15"/>
      <c r="F61" s="15"/>
      <c r="G61" s="16"/>
      <c r="H61" s="15"/>
      <c r="I61" s="15"/>
    </row>
    <row r="62" spans="1:9" ht="21.75" customHeight="1">
      <c r="A62" s="17">
        <v>20110</v>
      </c>
      <c r="B62" s="18" t="s">
        <v>121</v>
      </c>
      <c r="C62" s="15"/>
      <c r="D62" s="15"/>
      <c r="E62" s="15"/>
      <c r="F62" s="15"/>
      <c r="G62" s="16"/>
      <c r="H62" s="15"/>
      <c r="I62" s="15"/>
    </row>
    <row r="63" spans="1:9" ht="21.75" customHeight="1">
      <c r="A63" s="17">
        <v>20190</v>
      </c>
      <c r="B63" s="18" t="s">
        <v>122</v>
      </c>
      <c r="C63" s="15"/>
      <c r="D63" s="15"/>
      <c r="E63" s="15"/>
      <c r="F63" s="15"/>
      <c r="G63" s="16"/>
      <c r="H63" s="15"/>
      <c r="I63" s="15"/>
    </row>
    <row r="64" spans="1:9" ht="21.75" customHeight="1">
      <c r="A64" s="17">
        <v>20199</v>
      </c>
      <c r="B64" s="18" t="s">
        <v>124</v>
      </c>
      <c r="C64" s="15"/>
      <c r="D64" s="15"/>
      <c r="E64" s="15"/>
      <c r="F64" s="15"/>
      <c r="G64" s="16"/>
      <c r="H64" s="15"/>
      <c r="I64" s="15"/>
    </row>
    <row r="65" spans="1:9" ht="21.75" customHeight="1">
      <c r="A65" s="13">
        <v>202</v>
      </c>
      <c r="B65" s="14" t="s">
        <v>22</v>
      </c>
      <c r="C65" s="15"/>
      <c r="D65" s="15"/>
      <c r="E65" s="15"/>
      <c r="F65" s="15"/>
      <c r="G65" s="16"/>
      <c r="H65" s="15"/>
      <c r="I65" s="15"/>
    </row>
    <row r="66" spans="1:9" ht="21.75" customHeight="1">
      <c r="A66" s="17">
        <v>20201</v>
      </c>
      <c r="B66" s="18" t="s">
        <v>125</v>
      </c>
      <c r="C66" s="15"/>
      <c r="D66" s="15"/>
      <c r="E66" s="15"/>
      <c r="F66" s="15"/>
      <c r="G66" s="16"/>
      <c r="H66" s="15"/>
      <c r="I66" s="15"/>
    </row>
    <row r="67" spans="1:9" ht="21.75" customHeight="1">
      <c r="A67" s="17">
        <v>20202</v>
      </c>
      <c r="B67" s="18" t="s">
        <v>126</v>
      </c>
      <c r="C67" s="15"/>
      <c r="D67" s="15"/>
      <c r="E67" s="15"/>
      <c r="F67" s="15"/>
      <c r="G67" s="16"/>
      <c r="H67" s="15"/>
      <c r="I67" s="15"/>
    </row>
    <row r="68" spans="1:9" ht="30" customHeight="1">
      <c r="A68" s="17">
        <v>20203</v>
      </c>
      <c r="B68" s="734" t="s">
        <v>127</v>
      </c>
      <c r="C68" s="735"/>
      <c r="D68" s="736"/>
      <c r="E68" s="15"/>
      <c r="F68" s="15"/>
      <c r="G68" s="16"/>
      <c r="H68" s="15"/>
      <c r="I68" s="15"/>
    </row>
    <row r="69" spans="1:9" ht="21.75" customHeight="1">
      <c r="A69" s="17">
        <v>20204</v>
      </c>
      <c r="B69" s="18" t="s">
        <v>24</v>
      </c>
      <c r="C69" s="15"/>
      <c r="D69" s="15"/>
      <c r="E69" s="15"/>
      <c r="F69" s="15"/>
      <c r="G69" s="16"/>
      <c r="H69" s="15"/>
      <c r="I69" s="15"/>
    </row>
    <row r="70" spans="1:9" ht="21.75" customHeight="1">
      <c r="A70" s="17">
        <v>20206</v>
      </c>
      <c r="B70" s="18" t="s">
        <v>128</v>
      </c>
      <c r="C70" s="15"/>
      <c r="D70" s="15"/>
      <c r="E70" s="15"/>
      <c r="F70" s="15"/>
      <c r="G70" s="16"/>
      <c r="H70" s="15"/>
      <c r="I70" s="15"/>
    </row>
    <row r="71" spans="1:9" ht="21.75" customHeight="1">
      <c r="A71" s="17">
        <v>20208</v>
      </c>
      <c r="B71" s="18" t="s">
        <v>129</v>
      </c>
      <c r="C71" s="15"/>
      <c r="D71" s="15"/>
      <c r="E71" s="15"/>
      <c r="F71" s="15"/>
      <c r="G71" s="16"/>
      <c r="H71" s="15"/>
      <c r="I71" s="15"/>
    </row>
    <row r="72" spans="1:9" ht="30" customHeight="1">
      <c r="A72" s="17">
        <v>20209</v>
      </c>
      <c r="B72" s="734" t="s">
        <v>130</v>
      </c>
      <c r="C72" s="735"/>
      <c r="D72" s="736"/>
      <c r="E72" s="15"/>
      <c r="F72" s="15"/>
      <c r="G72" s="16"/>
      <c r="H72" s="15"/>
      <c r="I72" s="15"/>
    </row>
    <row r="73" spans="1:9" ht="21.75" customHeight="1">
      <c r="A73" s="17">
        <v>20290</v>
      </c>
      <c r="B73" s="18" t="s">
        <v>131</v>
      </c>
      <c r="C73" s="15"/>
      <c r="D73" s="15"/>
      <c r="E73" s="15"/>
      <c r="F73" s="15"/>
      <c r="G73" s="16"/>
      <c r="H73" s="15"/>
      <c r="I73" s="15"/>
    </row>
    <row r="74" spans="1:9" ht="21.75" customHeight="1">
      <c r="A74" s="17">
        <v>20291</v>
      </c>
      <c r="B74" s="18" t="s">
        <v>132</v>
      </c>
      <c r="C74" s="15"/>
      <c r="D74" s="15"/>
      <c r="E74" s="15"/>
      <c r="F74" s="15"/>
      <c r="G74" s="16"/>
      <c r="H74" s="15"/>
      <c r="I74" s="15"/>
    </row>
    <row r="75" spans="1:9" ht="21.75" customHeight="1">
      <c r="A75" s="17">
        <v>20293</v>
      </c>
      <c r="B75" s="18" t="s">
        <v>134</v>
      </c>
      <c r="C75" s="15"/>
      <c r="D75" s="15"/>
      <c r="E75" s="15"/>
      <c r="F75" s="15"/>
      <c r="G75" s="16"/>
      <c r="H75" s="15"/>
      <c r="I75" s="15"/>
    </row>
    <row r="76" spans="1:9" s="414" customFormat="1" ht="21.75" customHeight="1">
      <c r="A76" s="410">
        <v>20294</v>
      </c>
      <c r="B76" s="411" t="s">
        <v>57</v>
      </c>
      <c r="C76" s="412"/>
      <c r="D76" s="412"/>
      <c r="E76" s="412"/>
      <c r="F76" s="412"/>
      <c r="G76" s="413"/>
      <c r="H76" s="412"/>
      <c r="I76" s="412"/>
    </row>
    <row r="77" spans="1:9" ht="21.75" customHeight="1">
      <c r="A77" s="17">
        <v>20295</v>
      </c>
      <c r="B77" s="18" t="s">
        <v>135</v>
      </c>
      <c r="C77" s="15"/>
      <c r="D77" s="15"/>
      <c r="E77" s="15"/>
      <c r="F77" s="15"/>
      <c r="G77" s="16"/>
      <c r="H77" s="15"/>
      <c r="I77" s="15"/>
    </row>
    <row r="78" spans="1:9" ht="21.75" customHeight="1">
      <c r="A78" s="17">
        <v>20297</v>
      </c>
      <c r="B78" s="18" t="s">
        <v>136</v>
      </c>
      <c r="C78" s="15"/>
      <c r="D78" s="15"/>
      <c r="E78" s="15"/>
      <c r="F78" s="15"/>
      <c r="G78" s="16"/>
      <c r="H78" s="15"/>
      <c r="I78" s="15"/>
    </row>
    <row r="79" spans="1:9" ht="21.75" customHeight="1">
      <c r="A79" s="17">
        <v>20298</v>
      </c>
      <c r="B79" s="18" t="s">
        <v>137</v>
      </c>
      <c r="C79" s="15"/>
      <c r="D79" s="15"/>
      <c r="E79" s="15"/>
      <c r="F79" s="15"/>
      <c r="G79" s="16"/>
      <c r="H79" s="15"/>
      <c r="I79" s="15"/>
    </row>
    <row r="80" spans="1:9" ht="21.75" customHeight="1">
      <c r="A80" s="17">
        <v>20299</v>
      </c>
      <c r="B80" s="18" t="s">
        <v>138</v>
      </c>
      <c r="C80" s="15"/>
      <c r="D80" s="15"/>
      <c r="E80" s="15"/>
      <c r="F80" s="15"/>
      <c r="G80" s="16"/>
      <c r="H80" s="15"/>
      <c r="I80" s="15"/>
    </row>
    <row r="81" spans="1:9" ht="21.75" customHeight="1">
      <c r="A81" s="13">
        <v>203</v>
      </c>
      <c r="B81" s="14" t="s">
        <v>25</v>
      </c>
      <c r="C81" s="15"/>
      <c r="D81" s="15"/>
      <c r="E81" s="15"/>
      <c r="F81" s="15"/>
      <c r="G81" s="16"/>
      <c r="H81" s="15"/>
      <c r="I81" s="15"/>
    </row>
    <row r="82" spans="1:9" s="24" customFormat="1" ht="21.75" customHeight="1">
      <c r="A82" s="20">
        <v>20310</v>
      </c>
      <c r="B82" s="21" t="s">
        <v>140</v>
      </c>
      <c r="C82" s="22"/>
      <c r="D82" s="22"/>
      <c r="E82" s="22"/>
      <c r="F82" s="22"/>
      <c r="G82" s="23"/>
      <c r="H82" s="22"/>
      <c r="I82" s="22"/>
    </row>
    <row r="83" spans="1:9" s="24" customFormat="1" ht="30" customHeight="1">
      <c r="A83" s="20">
        <v>20311</v>
      </c>
      <c r="B83" s="737" t="s">
        <v>141</v>
      </c>
      <c r="C83" s="738"/>
      <c r="D83" s="739"/>
      <c r="E83" s="22"/>
      <c r="F83" s="22"/>
      <c r="G83" s="23"/>
      <c r="H83" s="22"/>
      <c r="I83" s="22"/>
    </row>
    <row r="84" spans="1:9" s="24" customFormat="1" ht="21.75" customHeight="1">
      <c r="A84" s="20">
        <v>20312</v>
      </c>
      <c r="B84" s="21" t="s">
        <v>142</v>
      </c>
      <c r="C84" s="22"/>
      <c r="D84" s="22"/>
      <c r="E84" s="22"/>
      <c r="F84" s="22"/>
      <c r="G84" s="23"/>
      <c r="H84" s="22"/>
      <c r="I84" s="22"/>
    </row>
    <row r="85" spans="1:9" s="24" customFormat="1" ht="21.75" customHeight="1">
      <c r="A85" s="20">
        <v>20314</v>
      </c>
      <c r="B85" s="21" t="s">
        <v>143</v>
      </c>
      <c r="C85" s="22"/>
      <c r="D85" s="22"/>
      <c r="E85" s="22"/>
      <c r="F85" s="22"/>
      <c r="G85" s="23"/>
      <c r="H85" s="22"/>
      <c r="I85" s="22"/>
    </row>
    <row r="86" spans="1:9" ht="21.75" customHeight="1">
      <c r="A86" s="17">
        <v>20315</v>
      </c>
      <c r="B86" s="18" t="s">
        <v>144</v>
      </c>
      <c r="C86" s="15"/>
      <c r="D86" s="15"/>
      <c r="E86" s="15"/>
      <c r="F86" s="15"/>
      <c r="G86" s="16"/>
      <c r="H86" s="15"/>
      <c r="I86" s="15"/>
    </row>
    <row r="87" spans="1:9" ht="21.75" customHeight="1">
      <c r="A87" s="13">
        <v>204</v>
      </c>
      <c r="B87" s="14" t="s">
        <v>146</v>
      </c>
      <c r="C87" s="15"/>
      <c r="D87" s="15"/>
      <c r="E87" s="15"/>
      <c r="F87" s="15"/>
      <c r="G87" s="16"/>
      <c r="H87" s="15"/>
      <c r="I87" s="15"/>
    </row>
    <row r="88" spans="1:9" ht="33" customHeight="1">
      <c r="A88" s="17">
        <v>20401</v>
      </c>
      <c r="B88" s="734" t="s">
        <v>147</v>
      </c>
      <c r="C88" s="735"/>
      <c r="D88" s="736"/>
      <c r="E88" s="15"/>
      <c r="F88" s="15"/>
      <c r="G88" s="16"/>
      <c r="H88" s="15"/>
      <c r="I88" s="15"/>
    </row>
    <row r="89" spans="1:9" ht="21.75" customHeight="1">
      <c r="A89" s="17">
        <v>20417</v>
      </c>
      <c r="B89" s="18" t="s">
        <v>150</v>
      </c>
      <c r="C89" s="15"/>
      <c r="D89" s="15"/>
      <c r="E89" s="15"/>
      <c r="F89" s="15"/>
      <c r="G89" s="16"/>
      <c r="H89" s="15"/>
      <c r="I89" s="15"/>
    </row>
    <row r="90" spans="1:9" ht="21.75" customHeight="1">
      <c r="A90" s="17">
        <v>20491</v>
      </c>
      <c r="B90" s="18" t="s">
        <v>151</v>
      </c>
      <c r="C90" s="15"/>
      <c r="D90" s="15"/>
      <c r="E90" s="15"/>
      <c r="F90" s="15"/>
      <c r="G90" s="16"/>
      <c r="H90" s="15"/>
      <c r="I90" s="15"/>
    </row>
    <row r="91" spans="1:9" ht="21.75" customHeight="1">
      <c r="A91" s="17">
        <v>20499</v>
      </c>
      <c r="B91" s="18" t="s">
        <v>152</v>
      </c>
      <c r="C91" s="15"/>
      <c r="D91" s="15"/>
      <c r="E91" s="15"/>
      <c r="F91" s="15"/>
      <c r="G91" s="16"/>
      <c r="H91" s="15"/>
      <c r="I91" s="15"/>
    </row>
    <row r="92" spans="1:9" ht="21.75" customHeight="1">
      <c r="A92" s="13">
        <v>206</v>
      </c>
      <c r="B92" s="14" t="s">
        <v>154</v>
      </c>
      <c r="C92" s="15"/>
      <c r="D92" s="15"/>
      <c r="E92" s="15"/>
      <c r="F92" s="15"/>
      <c r="G92" s="16"/>
      <c r="H92" s="15"/>
      <c r="I92" s="15"/>
    </row>
    <row r="93" spans="1:9" ht="21.75" customHeight="1">
      <c r="A93" s="17">
        <v>20602</v>
      </c>
      <c r="B93" s="18" t="s">
        <v>156</v>
      </c>
      <c r="C93" s="15"/>
      <c r="D93" s="15"/>
      <c r="E93" s="15"/>
      <c r="F93" s="15"/>
      <c r="G93" s="16"/>
      <c r="H93" s="15"/>
      <c r="I93" s="15"/>
    </row>
    <row r="94" spans="1:9" ht="21.75" customHeight="1">
      <c r="A94" s="17">
        <v>20603</v>
      </c>
      <c r="B94" s="18" t="s">
        <v>157</v>
      </c>
      <c r="C94" s="15"/>
      <c r="D94" s="15"/>
      <c r="E94" s="15"/>
      <c r="F94" s="15"/>
      <c r="G94" s="16"/>
      <c r="H94" s="15"/>
      <c r="I94" s="15"/>
    </row>
    <row r="95" spans="1:9" ht="21.75" customHeight="1">
      <c r="A95" s="17">
        <v>20699</v>
      </c>
      <c r="B95" s="18" t="s">
        <v>159</v>
      </c>
      <c r="C95" s="15"/>
      <c r="D95" s="15"/>
      <c r="E95" s="15"/>
      <c r="F95" s="15"/>
      <c r="G95" s="16"/>
      <c r="H95" s="15"/>
      <c r="I95" s="15"/>
    </row>
    <row r="96" spans="1:9" ht="21.75" customHeight="1">
      <c r="A96" s="13">
        <v>208</v>
      </c>
      <c r="B96" s="14" t="s">
        <v>29</v>
      </c>
      <c r="C96" s="15"/>
      <c r="D96" s="15"/>
      <c r="E96" s="15"/>
      <c r="F96" s="15"/>
      <c r="G96" s="16"/>
      <c r="H96" s="15"/>
      <c r="I96" s="15"/>
    </row>
    <row r="97" spans="1:9" ht="21.75" customHeight="1">
      <c r="A97" s="17">
        <v>20893</v>
      </c>
      <c r="B97" s="18" t="s">
        <v>161</v>
      </c>
      <c r="C97" s="15"/>
      <c r="D97" s="15"/>
      <c r="E97" s="15"/>
      <c r="F97" s="15"/>
      <c r="G97" s="16"/>
      <c r="H97" s="15"/>
      <c r="I97" s="15"/>
    </row>
    <row r="98" spans="1:9" ht="21.75" customHeight="1">
      <c r="A98" s="17">
        <v>20899</v>
      </c>
      <c r="B98" s="18" t="s">
        <v>162</v>
      </c>
      <c r="C98" s="15"/>
      <c r="D98" s="15"/>
      <c r="E98" s="15"/>
      <c r="F98" s="15"/>
      <c r="G98" s="16"/>
      <c r="H98" s="15"/>
      <c r="I98" s="15"/>
    </row>
    <row r="99" spans="1:9" s="12" customFormat="1" ht="21.75" customHeight="1">
      <c r="A99" s="8">
        <v>3</v>
      </c>
      <c r="B99" s="9" t="s">
        <v>163</v>
      </c>
      <c r="C99" s="10"/>
      <c r="D99" s="10"/>
      <c r="E99" s="10"/>
      <c r="F99" s="10"/>
      <c r="G99" s="11"/>
      <c r="H99" s="10"/>
      <c r="I99" s="10"/>
    </row>
    <row r="100" spans="1:9" ht="21.75" customHeight="1">
      <c r="A100" s="13">
        <v>301</v>
      </c>
      <c r="B100" s="14" t="s">
        <v>164</v>
      </c>
      <c r="C100" s="15"/>
      <c r="D100" s="15"/>
      <c r="E100" s="15"/>
      <c r="F100" s="15"/>
      <c r="G100" s="16"/>
      <c r="H100" s="15"/>
      <c r="I100" s="15"/>
    </row>
    <row r="101" spans="1:9" ht="21.75" customHeight="1">
      <c r="A101" s="17">
        <v>30102</v>
      </c>
      <c r="B101" s="18" t="s">
        <v>166</v>
      </c>
      <c r="C101" s="15"/>
      <c r="D101" s="15"/>
      <c r="E101" s="15"/>
      <c r="F101" s="15"/>
      <c r="G101" s="16"/>
      <c r="H101" s="15"/>
      <c r="I101" s="15"/>
    </row>
    <row r="102" spans="1:9" ht="21.75" customHeight="1">
      <c r="A102" s="17">
        <v>30103</v>
      </c>
      <c r="B102" s="18" t="s">
        <v>167</v>
      </c>
      <c r="C102" s="15"/>
      <c r="D102" s="15"/>
      <c r="E102" s="15"/>
      <c r="F102" s="15"/>
      <c r="G102" s="16"/>
      <c r="H102" s="15"/>
      <c r="I102" s="15"/>
    </row>
    <row r="103" spans="1:9" ht="21.75" customHeight="1">
      <c r="A103" s="17">
        <v>30191</v>
      </c>
      <c r="B103" s="18" t="s">
        <v>169</v>
      </c>
      <c r="C103" s="15"/>
      <c r="D103" s="15"/>
      <c r="E103" s="15"/>
      <c r="F103" s="15"/>
      <c r="G103" s="16"/>
      <c r="H103" s="15"/>
      <c r="I103" s="15"/>
    </row>
    <row r="104" spans="1:9" ht="21.75" customHeight="1">
      <c r="A104" s="17">
        <v>30193</v>
      </c>
      <c r="B104" s="18" t="s">
        <v>171</v>
      </c>
      <c r="C104" s="15"/>
      <c r="D104" s="15"/>
      <c r="E104" s="15"/>
      <c r="F104" s="15"/>
      <c r="G104" s="16"/>
      <c r="H104" s="15"/>
      <c r="I104" s="15"/>
    </row>
    <row r="105" spans="1:9" ht="21.75" customHeight="1">
      <c r="A105" s="17">
        <v>30195</v>
      </c>
      <c r="B105" s="18" t="s">
        <v>173</v>
      </c>
      <c r="C105" s="15"/>
      <c r="D105" s="15"/>
      <c r="E105" s="15"/>
      <c r="F105" s="15"/>
      <c r="G105" s="16"/>
      <c r="H105" s="15"/>
      <c r="I105" s="15"/>
    </row>
    <row r="106" spans="1:9" ht="21.75" customHeight="1">
      <c r="A106" s="17">
        <v>30199</v>
      </c>
      <c r="B106" s="734" t="s">
        <v>175</v>
      </c>
      <c r="C106" s="735"/>
      <c r="D106" s="736"/>
      <c r="E106" s="15"/>
      <c r="F106" s="15"/>
      <c r="G106" s="16"/>
      <c r="H106" s="15"/>
      <c r="I106" s="15"/>
    </row>
    <row r="107" spans="1:9" ht="21.75" customHeight="1">
      <c r="A107" s="13">
        <v>302</v>
      </c>
      <c r="B107" s="14" t="s">
        <v>176</v>
      </c>
      <c r="C107" s="15"/>
      <c r="D107" s="15"/>
      <c r="E107" s="15"/>
      <c r="F107" s="15"/>
      <c r="G107" s="16"/>
      <c r="H107" s="15"/>
      <c r="I107" s="15"/>
    </row>
    <row r="108" spans="1:9" ht="21.75" customHeight="1">
      <c r="A108" s="17">
        <v>30201</v>
      </c>
      <c r="B108" s="18" t="s">
        <v>177</v>
      </c>
      <c r="C108" s="15"/>
      <c r="D108" s="15"/>
      <c r="E108" s="15"/>
      <c r="F108" s="15"/>
      <c r="G108" s="16"/>
      <c r="H108" s="15"/>
      <c r="I108" s="15"/>
    </row>
    <row r="109" spans="1:9" ht="30.75" customHeight="1">
      <c r="A109" s="17">
        <v>30203</v>
      </c>
      <c r="B109" s="734" t="s">
        <v>178</v>
      </c>
      <c r="C109" s="735"/>
      <c r="D109" s="736"/>
      <c r="E109" s="15"/>
      <c r="F109" s="15"/>
      <c r="G109" s="16"/>
      <c r="H109" s="15"/>
      <c r="I109" s="15"/>
    </row>
    <row r="110" spans="1:9" ht="21.75" customHeight="1">
      <c r="A110" s="17">
        <v>30290</v>
      </c>
      <c r="B110" s="18" t="s">
        <v>59</v>
      </c>
      <c r="C110" s="15"/>
      <c r="D110" s="15"/>
      <c r="E110" s="15"/>
      <c r="F110" s="15"/>
      <c r="G110" s="16"/>
      <c r="H110" s="15"/>
      <c r="I110" s="15"/>
    </row>
    <row r="111" spans="1:9" ht="21.75" customHeight="1">
      <c r="A111" s="17">
        <v>30291</v>
      </c>
      <c r="B111" s="18" t="s">
        <v>58</v>
      </c>
      <c r="C111" s="15"/>
      <c r="D111" s="15"/>
      <c r="E111" s="15"/>
      <c r="F111" s="15"/>
      <c r="G111" s="16"/>
      <c r="H111" s="15"/>
      <c r="I111" s="15"/>
    </row>
    <row r="112" spans="1:9" ht="21.75" customHeight="1">
      <c r="A112" s="17">
        <v>30292</v>
      </c>
      <c r="B112" s="18" t="s">
        <v>179</v>
      </c>
      <c r="C112" s="15"/>
      <c r="D112" s="15"/>
      <c r="E112" s="15"/>
      <c r="F112" s="15"/>
      <c r="G112" s="16"/>
      <c r="H112" s="15"/>
      <c r="I112" s="15"/>
    </row>
    <row r="113" spans="1:9" ht="21.75" customHeight="1">
      <c r="A113" s="13">
        <v>303</v>
      </c>
      <c r="B113" s="14" t="s">
        <v>182</v>
      </c>
      <c r="C113" s="15"/>
      <c r="D113" s="15"/>
      <c r="E113" s="15"/>
      <c r="F113" s="15"/>
      <c r="G113" s="16"/>
      <c r="H113" s="15"/>
      <c r="I113" s="15"/>
    </row>
    <row r="114" spans="1:9" ht="21.75" customHeight="1">
      <c r="A114" s="17">
        <v>30390</v>
      </c>
      <c r="B114" s="18" t="s">
        <v>189</v>
      </c>
      <c r="C114" s="15"/>
      <c r="D114" s="15"/>
      <c r="E114" s="15"/>
      <c r="F114" s="15"/>
      <c r="G114" s="16"/>
      <c r="H114" s="15"/>
      <c r="I114" s="15"/>
    </row>
    <row r="115" spans="1:9" ht="21.75" customHeight="1">
      <c r="A115" s="17">
        <v>30393</v>
      </c>
      <c r="B115" s="18" t="s">
        <v>191</v>
      </c>
      <c r="C115" s="15"/>
      <c r="D115" s="15"/>
      <c r="E115" s="15"/>
      <c r="F115" s="15"/>
      <c r="G115" s="16"/>
      <c r="H115" s="15"/>
      <c r="I115" s="15"/>
    </row>
    <row r="116" spans="1:9" ht="21.75" customHeight="1">
      <c r="A116" s="17">
        <v>30399</v>
      </c>
      <c r="B116" s="18" t="s">
        <v>192</v>
      </c>
      <c r="C116" s="15"/>
      <c r="D116" s="19"/>
      <c r="E116" s="15"/>
      <c r="F116" s="15"/>
      <c r="G116" s="16"/>
      <c r="H116" s="15"/>
      <c r="I116" s="15"/>
    </row>
    <row r="117" spans="1:9" ht="21.75" customHeight="1">
      <c r="A117" s="13">
        <v>304</v>
      </c>
      <c r="B117" s="14" t="s">
        <v>193</v>
      </c>
      <c r="C117" s="15"/>
      <c r="D117" s="15"/>
      <c r="E117" s="15"/>
      <c r="F117" s="15"/>
      <c r="G117" s="16"/>
      <c r="H117" s="15"/>
      <c r="I117" s="15"/>
    </row>
    <row r="118" spans="1:9" ht="21.75" customHeight="1">
      <c r="A118" s="17">
        <v>30492</v>
      </c>
      <c r="B118" s="18" t="s">
        <v>194</v>
      </c>
      <c r="C118" s="15"/>
      <c r="D118" s="15"/>
      <c r="E118" s="15"/>
      <c r="F118" s="15"/>
      <c r="G118" s="16"/>
      <c r="H118" s="15"/>
      <c r="I118" s="15"/>
    </row>
    <row r="119" spans="1:9" ht="21.75" customHeight="1">
      <c r="A119" s="17">
        <v>30494</v>
      </c>
      <c r="B119" s="18" t="s">
        <v>195</v>
      </c>
      <c r="C119" s="15"/>
      <c r="D119" s="15"/>
      <c r="E119" s="15"/>
      <c r="F119" s="15"/>
      <c r="G119" s="16"/>
      <c r="H119" s="15"/>
      <c r="I119" s="15"/>
    </row>
    <row r="120" spans="1:9" ht="21.75" customHeight="1">
      <c r="A120" s="17">
        <v>30495</v>
      </c>
      <c r="B120" s="18" t="s">
        <v>196</v>
      </c>
      <c r="C120" s="15"/>
      <c r="D120" s="15"/>
      <c r="E120" s="15"/>
      <c r="F120" s="15"/>
      <c r="G120" s="16"/>
      <c r="H120" s="15"/>
      <c r="I120" s="15"/>
    </row>
    <row r="121" spans="1:9" ht="21.75" customHeight="1">
      <c r="A121" s="17">
        <v>30496</v>
      </c>
      <c r="B121" s="18" t="s">
        <v>43</v>
      </c>
      <c r="C121" s="15"/>
      <c r="D121" s="15"/>
      <c r="E121" s="15"/>
      <c r="F121" s="15"/>
      <c r="G121" s="16"/>
      <c r="H121" s="15"/>
      <c r="I121" s="15"/>
    </row>
    <row r="122" spans="1:9" ht="21.75" customHeight="1">
      <c r="A122" s="17">
        <v>30499</v>
      </c>
      <c r="B122" s="18" t="s">
        <v>197</v>
      </c>
      <c r="C122" s="15"/>
      <c r="D122" s="15"/>
      <c r="E122" s="15"/>
      <c r="F122" s="15"/>
      <c r="G122" s="16"/>
      <c r="H122" s="15"/>
      <c r="I122" s="15"/>
    </row>
    <row r="123" spans="1:9" s="12" customFormat="1" ht="21.75" customHeight="1">
      <c r="A123" s="8">
        <v>4</v>
      </c>
      <c r="B123" s="9" t="s">
        <v>198</v>
      </c>
      <c r="C123" s="10"/>
      <c r="D123" s="10"/>
      <c r="E123" s="10"/>
      <c r="F123" s="10"/>
      <c r="G123" s="11"/>
      <c r="H123" s="10"/>
      <c r="I123" s="10"/>
    </row>
    <row r="124" spans="1:9" ht="21.75" customHeight="1">
      <c r="A124" s="13">
        <v>402</v>
      </c>
      <c r="B124" s="14" t="s">
        <v>200</v>
      </c>
      <c r="C124" s="15"/>
      <c r="D124" s="15"/>
      <c r="E124" s="15"/>
      <c r="F124" s="15"/>
      <c r="G124" s="16"/>
      <c r="H124" s="15"/>
      <c r="I124" s="15"/>
    </row>
    <row r="125" spans="1:9" ht="21.75" customHeight="1">
      <c r="A125" s="17">
        <v>40292</v>
      </c>
      <c r="B125" s="18" t="s">
        <v>203</v>
      </c>
      <c r="C125" s="15"/>
      <c r="D125" s="15"/>
      <c r="E125" s="15"/>
      <c r="F125" s="15"/>
      <c r="G125" s="16"/>
      <c r="H125" s="15"/>
      <c r="I125" s="15"/>
    </row>
    <row r="126" spans="1:9" ht="21.75" customHeight="1">
      <c r="A126" s="17">
        <v>40299</v>
      </c>
      <c r="B126" s="18" t="s">
        <v>205</v>
      </c>
      <c r="C126" s="15"/>
      <c r="D126" s="15"/>
      <c r="E126" s="15"/>
      <c r="F126" s="15"/>
      <c r="G126" s="16"/>
      <c r="H126" s="15"/>
      <c r="I126" s="15"/>
    </row>
    <row r="127" spans="1:9" ht="21.75" customHeight="1">
      <c r="A127" s="13">
        <v>403</v>
      </c>
      <c r="B127" s="14" t="s">
        <v>206</v>
      </c>
      <c r="C127" s="15"/>
      <c r="D127" s="15"/>
      <c r="E127" s="15"/>
      <c r="F127" s="15"/>
      <c r="G127" s="16"/>
      <c r="H127" s="15"/>
      <c r="I127" s="15"/>
    </row>
    <row r="128" spans="1:9" ht="21.75" customHeight="1">
      <c r="A128" s="17">
        <v>40302</v>
      </c>
      <c r="B128" s="18" t="s">
        <v>207</v>
      </c>
      <c r="C128" s="15"/>
      <c r="D128" s="15"/>
      <c r="E128" s="15"/>
      <c r="F128" s="15"/>
      <c r="G128" s="16"/>
      <c r="H128" s="15"/>
      <c r="I128" s="15"/>
    </row>
    <row r="129" spans="1:9" ht="21.75" customHeight="1">
      <c r="A129" s="17">
        <v>40303</v>
      </c>
      <c r="B129" s="18" t="s">
        <v>208</v>
      </c>
      <c r="C129" s="15"/>
      <c r="D129" s="15"/>
      <c r="E129" s="15"/>
      <c r="F129" s="15"/>
      <c r="G129" s="16"/>
      <c r="H129" s="15"/>
      <c r="I129" s="15"/>
    </row>
    <row r="130" spans="1:9" ht="21.75" customHeight="1">
      <c r="A130" s="17">
        <v>40399</v>
      </c>
      <c r="B130" s="18" t="s">
        <v>209</v>
      </c>
      <c r="C130" s="15"/>
      <c r="D130" s="15"/>
      <c r="E130" s="15"/>
      <c r="F130" s="15"/>
      <c r="G130" s="16"/>
      <c r="H130" s="15"/>
      <c r="I130" s="15"/>
    </row>
    <row r="131" spans="1:9" ht="21.75" customHeight="1">
      <c r="A131" s="13">
        <v>404</v>
      </c>
      <c r="B131" s="14" t="s">
        <v>210</v>
      </c>
      <c r="C131" s="15"/>
      <c r="D131" s="15"/>
      <c r="E131" s="15"/>
      <c r="F131" s="15"/>
      <c r="G131" s="16"/>
      <c r="H131" s="15"/>
      <c r="I131" s="15"/>
    </row>
    <row r="132" spans="1:9" ht="21.75" customHeight="1">
      <c r="A132" s="17">
        <v>40401</v>
      </c>
      <c r="B132" s="18" t="s">
        <v>211</v>
      </c>
      <c r="C132" s="15"/>
      <c r="D132" s="15"/>
      <c r="E132" s="15"/>
      <c r="F132" s="15"/>
      <c r="G132" s="16"/>
      <c r="H132" s="15"/>
      <c r="I132" s="15"/>
    </row>
    <row r="133" spans="1:9" ht="21.75" customHeight="1">
      <c r="A133" s="17">
        <v>40402</v>
      </c>
      <c r="B133" s="18" t="s">
        <v>212</v>
      </c>
      <c r="C133" s="15"/>
      <c r="D133" s="15"/>
      <c r="E133" s="15"/>
      <c r="F133" s="15"/>
      <c r="G133" s="16"/>
      <c r="H133" s="15"/>
      <c r="I133" s="15"/>
    </row>
    <row r="134" spans="1:9" ht="21.75" customHeight="1">
      <c r="A134" s="17">
        <v>40491</v>
      </c>
      <c r="B134" s="18" t="s">
        <v>213</v>
      </c>
      <c r="C134" s="15"/>
      <c r="D134" s="15"/>
      <c r="E134" s="15"/>
      <c r="F134" s="15"/>
      <c r="G134" s="16"/>
      <c r="H134" s="15"/>
      <c r="I134" s="15"/>
    </row>
    <row r="135" spans="1:9" ht="21.75" customHeight="1">
      <c r="A135" s="17">
        <v>40492</v>
      </c>
      <c r="B135" s="18" t="s">
        <v>214</v>
      </c>
      <c r="C135" s="15"/>
      <c r="D135" s="15"/>
      <c r="E135" s="15"/>
      <c r="F135" s="15"/>
      <c r="G135" s="16"/>
      <c r="H135" s="15"/>
      <c r="I135" s="15"/>
    </row>
    <row r="136" spans="1:9" ht="21.75" customHeight="1">
      <c r="A136" s="17">
        <v>40496</v>
      </c>
      <c r="B136" s="18" t="s">
        <v>216</v>
      </c>
      <c r="C136" s="15"/>
      <c r="D136" s="15"/>
      <c r="E136" s="15"/>
      <c r="F136" s="15"/>
      <c r="G136" s="16"/>
      <c r="H136" s="15"/>
      <c r="I136" s="15"/>
    </row>
    <row r="137" spans="1:9" ht="21.75" customHeight="1">
      <c r="A137" s="13">
        <v>405</v>
      </c>
      <c r="B137" s="14" t="s">
        <v>948</v>
      </c>
      <c r="C137" s="15"/>
      <c r="D137" s="15"/>
      <c r="E137" s="15"/>
      <c r="F137" s="15"/>
      <c r="G137" s="16"/>
      <c r="H137" s="15"/>
      <c r="I137" s="15"/>
    </row>
    <row r="138" spans="1:9" ht="21.75" customHeight="1">
      <c r="A138" s="17">
        <v>40501</v>
      </c>
      <c r="B138" s="18" t="s">
        <v>947</v>
      </c>
      <c r="C138" s="15"/>
      <c r="D138" s="15"/>
      <c r="E138" s="15"/>
      <c r="F138" s="15"/>
      <c r="G138" s="16"/>
      <c r="H138" s="15"/>
      <c r="I138" s="15"/>
    </row>
    <row r="139" spans="1:9" ht="21.75" customHeight="1">
      <c r="A139" s="13">
        <v>406</v>
      </c>
      <c r="B139" s="14" t="s">
        <v>331</v>
      </c>
      <c r="C139" s="15"/>
      <c r="D139" s="15"/>
      <c r="E139" s="15"/>
      <c r="F139" s="15"/>
      <c r="G139" s="16"/>
      <c r="H139" s="15"/>
      <c r="I139" s="15"/>
    </row>
    <row r="140" spans="1:9" ht="21.75" customHeight="1">
      <c r="A140" s="17">
        <v>40704</v>
      </c>
      <c r="B140" s="18" t="s">
        <v>218</v>
      </c>
      <c r="C140" s="15"/>
      <c r="D140" s="15"/>
      <c r="E140" s="15"/>
      <c r="F140" s="15"/>
      <c r="G140" s="16"/>
      <c r="H140" s="15"/>
      <c r="I140" s="15"/>
    </row>
    <row r="141" spans="1:9" s="12" customFormat="1" ht="21.75" customHeight="1">
      <c r="A141" s="8">
        <v>5</v>
      </c>
      <c r="B141" s="9" t="s">
        <v>219</v>
      </c>
      <c r="C141" s="10"/>
      <c r="D141" s="10"/>
      <c r="E141" s="10"/>
      <c r="F141" s="10"/>
      <c r="G141" s="11"/>
      <c r="H141" s="10"/>
      <c r="I141" s="10"/>
    </row>
    <row r="142" spans="1:9" ht="21.75" customHeight="1">
      <c r="A142" s="13">
        <v>501</v>
      </c>
      <c r="B142" s="14" t="s">
        <v>220</v>
      </c>
      <c r="C142" s="15"/>
      <c r="D142" s="15"/>
      <c r="E142" s="15"/>
      <c r="F142" s="15"/>
      <c r="G142" s="16"/>
      <c r="H142" s="15"/>
      <c r="I142" s="15"/>
    </row>
    <row r="143" spans="1:9" ht="21.75" customHeight="1">
      <c r="A143" s="17">
        <v>50101</v>
      </c>
      <c r="B143" s="18" t="s">
        <v>221</v>
      </c>
      <c r="C143" s="15"/>
      <c r="D143" s="15"/>
      <c r="E143" s="15"/>
      <c r="F143" s="15"/>
      <c r="G143" s="16"/>
      <c r="H143" s="15"/>
      <c r="I143" s="15"/>
    </row>
    <row r="144" spans="1:9" ht="21.75" customHeight="1">
      <c r="A144" s="13">
        <v>502</v>
      </c>
      <c r="B144" s="14" t="s">
        <v>222</v>
      </c>
      <c r="C144" s="15"/>
      <c r="D144" s="15"/>
      <c r="E144" s="15"/>
      <c r="F144" s="15"/>
      <c r="G144" s="16"/>
      <c r="H144" s="15"/>
      <c r="I144" s="15"/>
    </row>
    <row r="145" spans="1:9" ht="21.75" customHeight="1">
      <c r="A145" s="17">
        <v>50201</v>
      </c>
      <c r="B145" s="18" t="s">
        <v>223</v>
      </c>
      <c r="C145" s="15"/>
      <c r="D145" s="15"/>
      <c r="E145" s="15"/>
      <c r="F145" s="15"/>
      <c r="G145" s="16"/>
      <c r="H145" s="15"/>
      <c r="I145" s="15"/>
    </row>
    <row r="146" spans="1:9" ht="21.75" customHeight="1">
      <c r="A146" s="13">
        <v>503</v>
      </c>
      <c r="B146" s="14" t="s">
        <v>224</v>
      </c>
      <c r="C146" s="15"/>
      <c r="D146" s="15"/>
      <c r="E146" s="15"/>
      <c r="F146" s="15"/>
      <c r="G146" s="16"/>
      <c r="H146" s="15"/>
      <c r="I146" s="15"/>
    </row>
    <row r="147" spans="1:9" ht="21.75" customHeight="1">
      <c r="A147" s="17">
        <v>50301</v>
      </c>
      <c r="B147" s="18" t="s">
        <v>225</v>
      </c>
      <c r="C147" s="15"/>
      <c r="D147" s="15"/>
      <c r="E147" s="15"/>
      <c r="F147" s="15"/>
      <c r="G147" s="16"/>
      <c r="H147" s="15"/>
      <c r="I147" s="15"/>
    </row>
    <row r="148" spans="1:9" ht="25.5" customHeight="1">
      <c r="A148" s="740" t="s">
        <v>1012</v>
      </c>
      <c r="B148" s="740"/>
      <c r="C148" s="740"/>
      <c r="D148" s="740"/>
      <c r="E148" s="740"/>
      <c r="F148" s="740"/>
      <c r="G148" s="415"/>
      <c r="H148" s="416"/>
      <c r="I148" s="416"/>
    </row>
    <row r="149" spans="1:9">
      <c r="F149" s="1" t="s">
        <v>943</v>
      </c>
    </row>
    <row r="150" spans="1:9">
      <c r="F150" s="1" t="s">
        <v>944</v>
      </c>
    </row>
    <row r="155" spans="1:9">
      <c r="F155" s="1" t="s">
        <v>226</v>
      </c>
    </row>
  </sheetData>
  <autoFilter ref="B8:D147"/>
  <mergeCells count="21">
    <mergeCell ref="A148:F148"/>
    <mergeCell ref="A1:I1"/>
    <mergeCell ref="A2:I2"/>
    <mergeCell ref="A3:C3"/>
    <mergeCell ref="G3:I3"/>
    <mergeCell ref="A4:C4"/>
    <mergeCell ref="G4:I4"/>
    <mergeCell ref="B68:D68"/>
    <mergeCell ref="B6:D6"/>
    <mergeCell ref="E6:F6"/>
    <mergeCell ref="B14:D14"/>
    <mergeCell ref="B27:D27"/>
    <mergeCell ref="B34:D34"/>
    <mergeCell ref="B52:D52"/>
    <mergeCell ref="B58:D58"/>
    <mergeCell ref="B60:D60"/>
    <mergeCell ref="B109:D109"/>
    <mergeCell ref="B72:D72"/>
    <mergeCell ref="B83:D83"/>
    <mergeCell ref="B88:D88"/>
    <mergeCell ref="B106:D106"/>
  </mergeCells>
  <pageMargins left="0.75" right="0.75" top="1" bottom="1" header="0.5" footer="0.5"/>
  <pageSetup paperSize="300" scale="50" orientation="portrait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25"/>
  <sheetViews>
    <sheetView view="pageBreakPreview" topLeftCell="H1" zoomScale="50" zoomScaleNormal="100" zoomScaleSheetLayoutView="50" workbookViewId="0">
      <selection activeCell="P19" sqref="P19"/>
    </sheetView>
  </sheetViews>
  <sheetFormatPr defaultColWidth="8.85546875" defaultRowHeight="15.75"/>
  <cols>
    <col min="1" max="6" width="3.85546875" style="365" customWidth="1"/>
    <col min="7" max="7" width="7.7109375" style="418" customWidth="1"/>
    <col min="8" max="8" width="108.7109375" style="365" customWidth="1"/>
    <col min="9" max="9" width="24.85546875" style="564" bestFit="1" customWidth="1"/>
    <col min="10" max="10" width="17.7109375" style="366" customWidth="1"/>
    <col min="11" max="11" width="19.5703125" style="365" customWidth="1"/>
    <col min="12" max="12" width="18.7109375" style="365" customWidth="1"/>
    <col min="13" max="13" width="21.140625" style="365" customWidth="1"/>
    <col min="14" max="14" width="18.140625" style="365" customWidth="1"/>
    <col min="15" max="15" width="21.28515625" style="365" customWidth="1"/>
    <col min="16" max="16" width="26.28515625" style="365" customWidth="1"/>
    <col min="17" max="17" width="25.85546875" style="365" customWidth="1"/>
    <col min="18" max="18" width="19.5703125" style="365" customWidth="1"/>
    <col min="19" max="19" width="23.28515625" style="365" customWidth="1"/>
    <col min="20" max="20" width="22.42578125" style="365" customWidth="1"/>
    <col min="21" max="24" width="8.85546875" style="365"/>
    <col min="25" max="25" width="16.28515625" style="365" bestFit="1" customWidth="1"/>
    <col min="26" max="256" width="8.85546875" style="365"/>
    <col min="257" max="262" width="3.85546875" style="365" customWidth="1"/>
    <col min="263" max="263" width="7.7109375" style="365" customWidth="1"/>
    <col min="264" max="264" width="108.7109375" style="365" customWidth="1"/>
    <col min="265" max="265" width="24.85546875" style="365" bestFit="1" customWidth="1"/>
    <col min="266" max="266" width="14" style="365" customWidth="1"/>
    <col min="267" max="267" width="19.5703125" style="365" customWidth="1"/>
    <col min="268" max="268" width="18.7109375" style="365" customWidth="1"/>
    <col min="269" max="269" width="21.140625" style="365" customWidth="1"/>
    <col min="270" max="270" width="18.140625" style="365" customWidth="1"/>
    <col min="271" max="271" width="17.7109375" style="365" customWidth="1"/>
    <col min="272" max="272" width="24.42578125" style="365" customWidth="1"/>
    <col min="273" max="273" width="25.85546875" style="365" customWidth="1"/>
    <col min="274" max="274" width="19.5703125" style="365" customWidth="1"/>
    <col min="275" max="275" width="21.140625" style="365" customWidth="1"/>
    <col min="276" max="276" width="18.7109375" style="365" customWidth="1"/>
    <col min="277" max="280" width="8.85546875" style="365"/>
    <col min="281" max="281" width="16.28515625" style="365" bestFit="1" customWidth="1"/>
    <col min="282" max="512" width="8.85546875" style="365"/>
    <col min="513" max="518" width="3.85546875" style="365" customWidth="1"/>
    <col min="519" max="519" width="7.7109375" style="365" customWidth="1"/>
    <col min="520" max="520" width="108.7109375" style="365" customWidth="1"/>
    <col min="521" max="521" width="24.85546875" style="365" bestFit="1" customWidth="1"/>
    <col min="522" max="522" width="14" style="365" customWidth="1"/>
    <col min="523" max="523" width="19.5703125" style="365" customWidth="1"/>
    <col min="524" max="524" width="18.7109375" style="365" customWidth="1"/>
    <col min="525" max="525" width="21.140625" style="365" customWidth="1"/>
    <col min="526" max="526" width="18.140625" style="365" customWidth="1"/>
    <col min="527" max="527" width="17.7109375" style="365" customWidth="1"/>
    <col min="528" max="528" width="24.42578125" style="365" customWidth="1"/>
    <col min="529" max="529" width="25.85546875" style="365" customWidth="1"/>
    <col min="530" max="530" width="19.5703125" style="365" customWidth="1"/>
    <col min="531" max="531" width="21.140625" style="365" customWidth="1"/>
    <col min="532" max="532" width="18.7109375" style="365" customWidth="1"/>
    <col min="533" max="536" width="8.85546875" style="365"/>
    <col min="537" max="537" width="16.28515625" style="365" bestFit="1" customWidth="1"/>
    <col min="538" max="768" width="8.85546875" style="365"/>
    <col min="769" max="774" width="3.85546875" style="365" customWidth="1"/>
    <col min="775" max="775" width="7.7109375" style="365" customWidth="1"/>
    <col min="776" max="776" width="108.7109375" style="365" customWidth="1"/>
    <col min="777" max="777" width="24.85546875" style="365" bestFit="1" customWidth="1"/>
    <col min="778" max="778" width="14" style="365" customWidth="1"/>
    <col min="779" max="779" width="19.5703125" style="365" customWidth="1"/>
    <col min="780" max="780" width="18.7109375" style="365" customWidth="1"/>
    <col min="781" max="781" width="21.140625" style="365" customWidth="1"/>
    <col min="782" max="782" width="18.140625" style="365" customWidth="1"/>
    <col min="783" max="783" width="17.7109375" style="365" customWidth="1"/>
    <col min="784" max="784" width="24.42578125" style="365" customWidth="1"/>
    <col min="785" max="785" width="25.85546875" style="365" customWidth="1"/>
    <col min="786" max="786" width="19.5703125" style="365" customWidth="1"/>
    <col min="787" max="787" width="21.140625" style="365" customWidth="1"/>
    <col min="788" max="788" width="18.7109375" style="365" customWidth="1"/>
    <col min="789" max="792" width="8.85546875" style="365"/>
    <col min="793" max="793" width="16.28515625" style="365" bestFit="1" customWidth="1"/>
    <col min="794" max="1024" width="8.85546875" style="365"/>
    <col min="1025" max="1030" width="3.85546875" style="365" customWidth="1"/>
    <col min="1031" max="1031" width="7.7109375" style="365" customWidth="1"/>
    <col min="1032" max="1032" width="108.7109375" style="365" customWidth="1"/>
    <col min="1033" max="1033" width="24.85546875" style="365" bestFit="1" customWidth="1"/>
    <col min="1034" max="1034" width="14" style="365" customWidth="1"/>
    <col min="1035" max="1035" width="19.5703125" style="365" customWidth="1"/>
    <col min="1036" max="1036" width="18.7109375" style="365" customWidth="1"/>
    <col min="1037" max="1037" width="21.140625" style="365" customWidth="1"/>
    <col min="1038" max="1038" width="18.140625" style="365" customWidth="1"/>
    <col min="1039" max="1039" width="17.7109375" style="365" customWidth="1"/>
    <col min="1040" max="1040" width="24.42578125" style="365" customWidth="1"/>
    <col min="1041" max="1041" width="25.85546875" style="365" customWidth="1"/>
    <col min="1042" max="1042" width="19.5703125" style="365" customWidth="1"/>
    <col min="1043" max="1043" width="21.140625" style="365" customWidth="1"/>
    <col min="1044" max="1044" width="18.7109375" style="365" customWidth="1"/>
    <col min="1045" max="1048" width="8.85546875" style="365"/>
    <col min="1049" max="1049" width="16.28515625" style="365" bestFit="1" customWidth="1"/>
    <col min="1050" max="1280" width="8.85546875" style="365"/>
    <col min="1281" max="1286" width="3.85546875" style="365" customWidth="1"/>
    <col min="1287" max="1287" width="7.7109375" style="365" customWidth="1"/>
    <col min="1288" max="1288" width="108.7109375" style="365" customWidth="1"/>
    <col min="1289" max="1289" width="24.85546875" style="365" bestFit="1" customWidth="1"/>
    <col min="1290" max="1290" width="14" style="365" customWidth="1"/>
    <col min="1291" max="1291" width="19.5703125" style="365" customWidth="1"/>
    <col min="1292" max="1292" width="18.7109375" style="365" customWidth="1"/>
    <col min="1293" max="1293" width="21.140625" style="365" customWidth="1"/>
    <col min="1294" max="1294" width="18.140625" style="365" customWidth="1"/>
    <col min="1295" max="1295" width="17.7109375" style="365" customWidth="1"/>
    <col min="1296" max="1296" width="24.42578125" style="365" customWidth="1"/>
    <col min="1297" max="1297" width="25.85546875" style="365" customWidth="1"/>
    <col min="1298" max="1298" width="19.5703125" style="365" customWidth="1"/>
    <col min="1299" max="1299" width="21.140625" style="365" customWidth="1"/>
    <col min="1300" max="1300" width="18.7109375" style="365" customWidth="1"/>
    <col min="1301" max="1304" width="8.85546875" style="365"/>
    <col min="1305" max="1305" width="16.28515625" style="365" bestFit="1" customWidth="1"/>
    <col min="1306" max="1536" width="8.85546875" style="365"/>
    <col min="1537" max="1542" width="3.85546875" style="365" customWidth="1"/>
    <col min="1543" max="1543" width="7.7109375" style="365" customWidth="1"/>
    <col min="1544" max="1544" width="108.7109375" style="365" customWidth="1"/>
    <col min="1545" max="1545" width="24.85546875" style="365" bestFit="1" customWidth="1"/>
    <col min="1546" max="1546" width="14" style="365" customWidth="1"/>
    <col min="1547" max="1547" width="19.5703125" style="365" customWidth="1"/>
    <col min="1548" max="1548" width="18.7109375" style="365" customWidth="1"/>
    <col min="1549" max="1549" width="21.140625" style="365" customWidth="1"/>
    <col min="1550" max="1550" width="18.140625" style="365" customWidth="1"/>
    <col min="1551" max="1551" width="17.7109375" style="365" customWidth="1"/>
    <col min="1552" max="1552" width="24.42578125" style="365" customWidth="1"/>
    <col min="1553" max="1553" width="25.85546875" style="365" customWidth="1"/>
    <col min="1554" max="1554" width="19.5703125" style="365" customWidth="1"/>
    <col min="1555" max="1555" width="21.140625" style="365" customWidth="1"/>
    <col min="1556" max="1556" width="18.7109375" style="365" customWidth="1"/>
    <col min="1557" max="1560" width="8.85546875" style="365"/>
    <col min="1561" max="1561" width="16.28515625" style="365" bestFit="1" customWidth="1"/>
    <col min="1562" max="1792" width="8.85546875" style="365"/>
    <col min="1793" max="1798" width="3.85546875" style="365" customWidth="1"/>
    <col min="1799" max="1799" width="7.7109375" style="365" customWidth="1"/>
    <col min="1800" max="1800" width="108.7109375" style="365" customWidth="1"/>
    <col min="1801" max="1801" width="24.85546875" style="365" bestFit="1" customWidth="1"/>
    <col min="1802" max="1802" width="14" style="365" customWidth="1"/>
    <col min="1803" max="1803" width="19.5703125" style="365" customWidth="1"/>
    <col min="1804" max="1804" width="18.7109375" style="365" customWidth="1"/>
    <col min="1805" max="1805" width="21.140625" style="365" customWidth="1"/>
    <col min="1806" max="1806" width="18.140625" style="365" customWidth="1"/>
    <col min="1807" max="1807" width="17.7109375" style="365" customWidth="1"/>
    <col min="1808" max="1808" width="24.42578125" style="365" customWidth="1"/>
    <col min="1809" max="1809" width="25.85546875" style="365" customWidth="1"/>
    <col min="1810" max="1810" width="19.5703125" style="365" customWidth="1"/>
    <col min="1811" max="1811" width="21.140625" style="365" customWidth="1"/>
    <col min="1812" max="1812" width="18.7109375" style="365" customWidth="1"/>
    <col min="1813" max="1816" width="8.85546875" style="365"/>
    <col min="1817" max="1817" width="16.28515625" style="365" bestFit="1" customWidth="1"/>
    <col min="1818" max="2048" width="8.85546875" style="365"/>
    <col min="2049" max="2054" width="3.85546875" style="365" customWidth="1"/>
    <col min="2055" max="2055" width="7.7109375" style="365" customWidth="1"/>
    <col min="2056" max="2056" width="108.7109375" style="365" customWidth="1"/>
    <col min="2057" max="2057" width="24.85546875" style="365" bestFit="1" customWidth="1"/>
    <col min="2058" max="2058" width="14" style="365" customWidth="1"/>
    <col min="2059" max="2059" width="19.5703125" style="365" customWidth="1"/>
    <col min="2060" max="2060" width="18.7109375" style="365" customWidth="1"/>
    <col min="2061" max="2061" width="21.140625" style="365" customWidth="1"/>
    <col min="2062" max="2062" width="18.140625" style="365" customWidth="1"/>
    <col min="2063" max="2063" width="17.7109375" style="365" customWidth="1"/>
    <col min="2064" max="2064" width="24.42578125" style="365" customWidth="1"/>
    <col min="2065" max="2065" width="25.85546875" style="365" customWidth="1"/>
    <col min="2066" max="2066" width="19.5703125" style="365" customWidth="1"/>
    <col min="2067" max="2067" width="21.140625" style="365" customWidth="1"/>
    <col min="2068" max="2068" width="18.7109375" style="365" customWidth="1"/>
    <col min="2069" max="2072" width="8.85546875" style="365"/>
    <col min="2073" max="2073" width="16.28515625" style="365" bestFit="1" customWidth="1"/>
    <col min="2074" max="2304" width="8.85546875" style="365"/>
    <col min="2305" max="2310" width="3.85546875" style="365" customWidth="1"/>
    <col min="2311" max="2311" width="7.7109375" style="365" customWidth="1"/>
    <col min="2312" max="2312" width="108.7109375" style="365" customWidth="1"/>
    <col min="2313" max="2313" width="24.85546875" style="365" bestFit="1" customWidth="1"/>
    <col min="2314" max="2314" width="14" style="365" customWidth="1"/>
    <col min="2315" max="2315" width="19.5703125" style="365" customWidth="1"/>
    <col min="2316" max="2316" width="18.7109375" style="365" customWidth="1"/>
    <col min="2317" max="2317" width="21.140625" style="365" customWidth="1"/>
    <col min="2318" max="2318" width="18.140625" style="365" customWidth="1"/>
    <col min="2319" max="2319" width="17.7109375" style="365" customWidth="1"/>
    <col min="2320" max="2320" width="24.42578125" style="365" customWidth="1"/>
    <col min="2321" max="2321" width="25.85546875" style="365" customWidth="1"/>
    <col min="2322" max="2322" width="19.5703125" style="365" customWidth="1"/>
    <col min="2323" max="2323" width="21.140625" style="365" customWidth="1"/>
    <col min="2324" max="2324" width="18.7109375" style="365" customWidth="1"/>
    <col min="2325" max="2328" width="8.85546875" style="365"/>
    <col min="2329" max="2329" width="16.28515625" style="365" bestFit="1" customWidth="1"/>
    <col min="2330" max="2560" width="8.85546875" style="365"/>
    <col min="2561" max="2566" width="3.85546875" style="365" customWidth="1"/>
    <col min="2567" max="2567" width="7.7109375" style="365" customWidth="1"/>
    <col min="2568" max="2568" width="108.7109375" style="365" customWidth="1"/>
    <col min="2569" max="2569" width="24.85546875" style="365" bestFit="1" customWidth="1"/>
    <col min="2570" max="2570" width="14" style="365" customWidth="1"/>
    <col min="2571" max="2571" width="19.5703125" style="365" customWidth="1"/>
    <col min="2572" max="2572" width="18.7109375" style="365" customWidth="1"/>
    <col min="2573" max="2573" width="21.140625" style="365" customWidth="1"/>
    <col min="2574" max="2574" width="18.140625" style="365" customWidth="1"/>
    <col min="2575" max="2575" width="17.7109375" style="365" customWidth="1"/>
    <col min="2576" max="2576" width="24.42578125" style="365" customWidth="1"/>
    <col min="2577" max="2577" width="25.85546875" style="365" customWidth="1"/>
    <col min="2578" max="2578" width="19.5703125" style="365" customWidth="1"/>
    <col min="2579" max="2579" width="21.140625" style="365" customWidth="1"/>
    <col min="2580" max="2580" width="18.7109375" style="365" customWidth="1"/>
    <col min="2581" max="2584" width="8.85546875" style="365"/>
    <col min="2585" max="2585" width="16.28515625" style="365" bestFit="1" customWidth="1"/>
    <col min="2586" max="2816" width="8.85546875" style="365"/>
    <col min="2817" max="2822" width="3.85546875" style="365" customWidth="1"/>
    <col min="2823" max="2823" width="7.7109375" style="365" customWidth="1"/>
    <col min="2824" max="2824" width="108.7109375" style="365" customWidth="1"/>
    <col min="2825" max="2825" width="24.85546875" style="365" bestFit="1" customWidth="1"/>
    <col min="2826" max="2826" width="14" style="365" customWidth="1"/>
    <col min="2827" max="2827" width="19.5703125" style="365" customWidth="1"/>
    <col min="2828" max="2828" width="18.7109375" style="365" customWidth="1"/>
    <col min="2829" max="2829" width="21.140625" style="365" customWidth="1"/>
    <col min="2830" max="2830" width="18.140625" style="365" customWidth="1"/>
    <col min="2831" max="2831" width="17.7109375" style="365" customWidth="1"/>
    <col min="2832" max="2832" width="24.42578125" style="365" customWidth="1"/>
    <col min="2833" max="2833" width="25.85546875" style="365" customWidth="1"/>
    <col min="2834" max="2834" width="19.5703125" style="365" customWidth="1"/>
    <col min="2835" max="2835" width="21.140625" style="365" customWidth="1"/>
    <col min="2836" max="2836" width="18.7109375" style="365" customWidth="1"/>
    <col min="2837" max="2840" width="8.85546875" style="365"/>
    <col min="2841" max="2841" width="16.28515625" style="365" bestFit="1" customWidth="1"/>
    <col min="2842" max="3072" width="8.85546875" style="365"/>
    <col min="3073" max="3078" width="3.85546875" style="365" customWidth="1"/>
    <col min="3079" max="3079" width="7.7109375" style="365" customWidth="1"/>
    <col min="3080" max="3080" width="108.7109375" style="365" customWidth="1"/>
    <col min="3081" max="3081" width="24.85546875" style="365" bestFit="1" customWidth="1"/>
    <col min="3082" max="3082" width="14" style="365" customWidth="1"/>
    <col min="3083" max="3083" width="19.5703125" style="365" customWidth="1"/>
    <col min="3084" max="3084" width="18.7109375" style="365" customWidth="1"/>
    <col min="3085" max="3085" width="21.140625" style="365" customWidth="1"/>
    <col min="3086" max="3086" width="18.140625" style="365" customWidth="1"/>
    <col min="3087" max="3087" width="17.7109375" style="365" customWidth="1"/>
    <col min="3088" max="3088" width="24.42578125" style="365" customWidth="1"/>
    <col min="3089" max="3089" width="25.85546875" style="365" customWidth="1"/>
    <col min="3090" max="3090" width="19.5703125" style="365" customWidth="1"/>
    <col min="3091" max="3091" width="21.140625" style="365" customWidth="1"/>
    <col min="3092" max="3092" width="18.7109375" style="365" customWidth="1"/>
    <col min="3093" max="3096" width="8.85546875" style="365"/>
    <col min="3097" max="3097" width="16.28515625" style="365" bestFit="1" customWidth="1"/>
    <col min="3098" max="3328" width="8.85546875" style="365"/>
    <col min="3329" max="3334" width="3.85546875" style="365" customWidth="1"/>
    <col min="3335" max="3335" width="7.7109375" style="365" customWidth="1"/>
    <col min="3336" max="3336" width="108.7109375" style="365" customWidth="1"/>
    <col min="3337" max="3337" width="24.85546875" style="365" bestFit="1" customWidth="1"/>
    <col min="3338" max="3338" width="14" style="365" customWidth="1"/>
    <col min="3339" max="3339" width="19.5703125" style="365" customWidth="1"/>
    <col min="3340" max="3340" width="18.7109375" style="365" customWidth="1"/>
    <col min="3341" max="3341" width="21.140625" style="365" customWidth="1"/>
    <col min="3342" max="3342" width="18.140625" style="365" customWidth="1"/>
    <col min="3343" max="3343" width="17.7109375" style="365" customWidth="1"/>
    <col min="3344" max="3344" width="24.42578125" style="365" customWidth="1"/>
    <col min="3345" max="3345" width="25.85546875" style="365" customWidth="1"/>
    <col min="3346" max="3346" width="19.5703125" style="365" customWidth="1"/>
    <col min="3347" max="3347" width="21.140625" style="365" customWidth="1"/>
    <col min="3348" max="3348" width="18.7109375" style="365" customWidth="1"/>
    <col min="3349" max="3352" width="8.85546875" style="365"/>
    <col min="3353" max="3353" width="16.28515625" style="365" bestFit="1" customWidth="1"/>
    <col min="3354" max="3584" width="8.85546875" style="365"/>
    <col min="3585" max="3590" width="3.85546875" style="365" customWidth="1"/>
    <col min="3591" max="3591" width="7.7109375" style="365" customWidth="1"/>
    <col min="3592" max="3592" width="108.7109375" style="365" customWidth="1"/>
    <col min="3593" max="3593" width="24.85546875" style="365" bestFit="1" customWidth="1"/>
    <col min="3594" max="3594" width="14" style="365" customWidth="1"/>
    <col min="3595" max="3595" width="19.5703125" style="365" customWidth="1"/>
    <col min="3596" max="3596" width="18.7109375" style="365" customWidth="1"/>
    <col min="3597" max="3597" width="21.140625" style="365" customWidth="1"/>
    <col min="3598" max="3598" width="18.140625" style="365" customWidth="1"/>
    <col min="3599" max="3599" width="17.7109375" style="365" customWidth="1"/>
    <col min="3600" max="3600" width="24.42578125" style="365" customWidth="1"/>
    <col min="3601" max="3601" width="25.85546875" style="365" customWidth="1"/>
    <col min="3602" max="3602" width="19.5703125" style="365" customWidth="1"/>
    <col min="3603" max="3603" width="21.140625" style="365" customWidth="1"/>
    <col min="3604" max="3604" width="18.7109375" style="365" customWidth="1"/>
    <col min="3605" max="3608" width="8.85546875" style="365"/>
    <col min="3609" max="3609" width="16.28515625" style="365" bestFit="1" customWidth="1"/>
    <col min="3610" max="3840" width="8.85546875" style="365"/>
    <col min="3841" max="3846" width="3.85546875" style="365" customWidth="1"/>
    <col min="3847" max="3847" width="7.7109375" style="365" customWidth="1"/>
    <col min="3848" max="3848" width="108.7109375" style="365" customWidth="1"/>
    <col min="3849" max="3849" width="24.85546875" style="365" bestFit="1" customWidth="1"/>
    <col min="3850" max="3850" width="14" style="365" customWidth="1"/>
    <col min="3851" max="3851" width="19.5703125" style="365" customWidth="1"/>
    <col min="3852" max="3852" width="18.7109375" style="365" customWidth="1"/>
    <col min="3853" max="3853" width="21.140625" style="365" customWidth="1"/>
    <col min="3854" max="3854" width="18.140625" style="365" customWidth="1"/>
    <col min="3855" max="3855" width="17.7109375" style="365" customWidth="1"/>
    <col min="3856" max="3856" width="24.42578125" style="365" customWidth="1"/>
    <col min="3857" max="3857" width="25.85546875" style="365" customWidth="1"/>
    <col min="3858" max="3858" width="19.5703125" style="365" customWidth="1"/>
    <col min="3859" max="3859" width="21.140625" style="365" customWidth="1"/>
    <col min="3860" max="3860" width="18.7109375" style="365" customWidth="1"/>
    <col min="3861" max="3864" width="8.85546875" style="365"/>
    <col min="3865" max="3865" width="16.28515625" style="365" bestFit="1" customWidth="1"/>
    <col min="3866" max="4096" width="8.85546875" style="365"/>
    <col min="4097" max="4102" width="3.85546875" style="365" customWidth="1"/>
    <col min="4103" max="4103" width="7.7109375" style="365" customWidth="1"/>
    <col min="4104" max="4104" width="108.7109375" style="365" customWidth="1"/>
    <col min="4105" max="4105" width="24.85546875" style="365" bestFit="1" customWidth="1"/>
    <col min="4106" max="4106" width="14" style="365" customWidth="1"/>
    <col min="4107" max="4107" width="19.5703125" style="365" customWidth="1"/>
    <col min="4108" max="4108" width="18.7109375" style="365" customWidth="1"/>
    <col min="4109" max="4109" width="21.140625" style="365" customWidth="1"/>
    <col min="4110" max="4110" width="18.140625" style="365" customWidth="1"/>
    <col min="4111" max="4111" width="17.7109375" style="365" customWidth="1"/>
    <col min="4112" max="4112" width="24.42578125" style="365" customWidth="1"/>
    <col min="4113" max="4113" width="25.85546875" style="365" customWidth="1"/>
    <col min="4114" max="4114" width="19.5703125" style="365" customWidth="1"/>
    <col min="4115" max="4115" width="21.140625" style="365" customWidth="1"/>
    <col min="4116" max="4116" width="18.7109375" style="365" customWidth="1"/>
    <col min="4117" max="4120" width="8.85546875" style="365"/>
    <col min="4121" max="4121" width="16.28515625" style="365" bestFit="1" customWidth="1"/>
    <col min="4122" max="4352" width="8.85546875" style="365"/>
    <col min="4353" max="4358" width="3.85546875" style="365" customWidth="1"/>
    <col min="4359" max="4359" width="7.7109375" style="365" customWidth="1"/>
    <col min="4360" max="4360" width="108.7109375" style="365" customWidth="1"/>
    <col min="4361" max="4361" width="24.85546875" style="365" bestFit="1" customWidth="1"/>
    <col min="4362" max="4362" width="14" style="365" customWidth="1"/>
    <col min="4363" max="4363" width="19.5703125" style="365" customWidth="1"/>
    <col min="4364" max="4364" width="18.7109375" style="365" customWidth="1"/>
    <col min="4365" max="4365" width="21.140625" style="365" customWidth="1"/>
    <col min="4366" max="4366" width="18.140625" style="365" customWidth="1"/>
    <col min="4367" max="4367" width="17.7109375" style="365" customWidth="1"/>
    <col min="4368" max="4368" width="24.42578125" style="365" customWidth="1"/>
    <col min="4369" max="4369" width="25.85546875" style="365" customWidth="1"/>
    <col min="4370" max="4370" width="19.5703125" style="365" customWidth="1"/>
    <col min="4371" max="4371" width="21.140625" style="365" customWidth="1"/>
    <col min="4372" max="4372" width="18.7109375" style="365" customWidth="1"/>
    <col min="4373" max="4376" width="8.85546875" style="365"/>
    <col min="4377" max="4377" width="16.28515625" style="365" bestFit="1" customWidth="1"/>
    <col min="4378" max="4608" width="8.85546875" style="365"/>
    <col min="4609" max="4614" width="3.85546875" style="365" customWidth="1"/>
    <col min="4615" max="4615" width="7.7109375" style="365" customWidth="1"/>
    <col min="4616" max="4616" width="108.7109375" style="365" customWidth="1"/>
    <col min="4617" max="4617" width="24.85546875" style="365" bestFit="1" customWidth="1"/>
    <col min="4618" max="4618" width="14" style="365" customWidth="1"/>
    <col min="4619" max="4619" width="19.5703125" style="365" customWidth="1"/>
    <col min="4620" max="4620" width="18.7109375" style="365" customWidth="1"/>
    <col min="4621" max="4621" width="21.140625" style="365" customWidth="1"/>
    <col min="4622" max="4622" width="18.140625" style="365" customWidth="1"/>
    <col min="4623" max="4623" width="17.7109375" style="365" customWidth="1"/>
    <col min="4624" max="4624" width="24.42578125" style="365" customWidth="1"/>
    <col min="4625" max="4625" width="25.85546875" style="365" customWidth="1"/>
    <col min="4626" max="4626" width="19.5703125" style="365" customWidth="1"/>
    <col min="4627" max="4627" width="21.140625" style="365" customWidth="1"/>
    <col min="4628" max="4628" width="18.7109375" style="365" customWidth="1"/>
    <col min="4629" max="4632" width="8.85546875" style="365"/>
    <col min="4633" max="4633" width="16.28515625" style="365" bestFit="1" customWidth="1"/>
    <col min="4634" max="4864" width="8.85546875" style="365"/>
    <col min="4865" max="4870" width="3.85546875" style="365" customWidth="1"/>
    <col min="4871" max="4871" width="7.7109375" style="365" customWidth="1"/>
    <col min="4872" max="4872" width="108.7109375" style="365" customWidth="1"/>
    <col min="4873" max="4873" width="24.85546875" style="365" bestFit="1" customWidth="1"/>
    <col min="4874" max="4874" width="14" style="365" customWidth="1"/>
    <col min="4875" max="4875" width="19.5703125" style="365" customWidth="1"/>
    <col min="4876" max="4876" width="18.7109375" style="365" customWidth="1"/>
    <col min="4877" max="4877" width="21.140625" style="365" customWidth="1"/>
    <col min="4878" max="4878" width="18.140625" style="365" customWidth="1"/>
    <col min="4879" max="4879" width="17.7109375" style="365" customWidth="1"/>
    <col min="4880" max="4880" width="24.42578125" style="365" customWidth="1"/>
    <col min="4881" max="4881" width="25.85546875" style="365" customWidth="1"/>
    <col min="4882" max="4882" width="19.5703125" style="365" customWidth="1"/>
    <col min="4883" max="4883" width="21.140625" style="365" customWidth="1"/>
    <col min="4884" max="4884" width="18.7109375" style="365" customWidth="1"/>
    <col min="4885" max="4888" width="8.85546875" style="365"/>
    <col min="4889" max="4889" width="16.28515625" style="365" bestFit="1" customWidth="1"/>
    <col min="4890" max="5120" width="8.85546875" style="365"/>
    <col min="5121" max="5126" width="3.85546875" style="365" customWidth="1"/>
    <col min="5127" max="5127" width="7.7109375" style="365" customWidth="1"/>
    <col min="5128" max="5128" width="108.7109375" style="365" customWidth="1"/>
    <col min="5129" max="5129" width="24.85546875" style="365" bestFit="1" customWidth="1"/>
    <col min="5130" max="5130" width="14" style="365" customWidth="1"/>
    <col min="5131" max="5131" width="19.5703125" style="365" customWidth="1"/>
    <col min="5132" max="5132" width="18.7109375" style="365" customWidth="1"/>
    <col min="5133" max="5133" width="21.140625" style="365" customWidth="1"/>
    <col min="5134" max="5134" width="18.140625" style="365" customWidth="1"/>
    <col min="5135" max="5135" width="17.7109375" style="365" customWidth="1"/>
    <col min="5136" max="5136" width="24.42578125" style="365" customWidth="1"/>
    <col min="5137" max="5137" width="25.85546875" style="365" customWidth="1"/>
    <col min="5138" max="5138" width="19.5703125" style="365" customWidth="1"/>
    <col min="5139" max="5139" width="21.140625" style="365" customWidth="1"/>
    <col min="5140" max="5140" width="18.7109375" style="365" customWidth="1"/>
    <col min="5141" max="5144" width="8.85546875" style="365"/>
    <col min="5145" max="5145" width="16.28515625" style="365" bestFit="1" customWidth="1"/>
    <col min="5146" max="5376" width="8.85546875" style="365"/>
    <col min="5377" max="5382" width="3.85546875" style="365" customWidth="1"/>
    <col min="5383" max="5383" width="7.7109375" style="365" customWidth="1"/>
    <col min="5384" max="5384" width="108.7109375" style="365" customWidth="1"/>
    <col min="5385" max="5385" width="24.85546875" style="365" bestFit="1" customWidth="1"/>
    <col min="5386" max="5386" width="14" style="365" customWidth="1"/>
    <col min="5387" max="5387" width="19.5703125" style="365" customWidth="1"/>
    <col min="5388" max="5388" width="18.7109375" style="365" customWidth="1"/>
    <col min="5389" max="5389" width="21.140625" style="365" customWidth="1"/>
    <col min="5390" max="5390" width="18.140625" style="365" customWidth="1"/>
    <col min="5391" max="5391" width="17.7109375" style="365" customWidth="1"/>
    <col min="5392" max="5392" width="24.42578125" style="365" customWidth="1"/>
    <col min="5393" max="5393" width="25.85546875" style="365" customWidth="1"/>
    <col min="5394" max="5394" width="19.5703125" style="365" customWidth="1"/>
    <col min="5395" max="5395" width="21.140625" style="365" customWidth="1"/>
    <col min="5396" max="5396" width="18.7109375" style="365" customWidth="1"/>
    <col min="5397" max="5400" width="8.85546875" style="365"/>
    <col min="5401" max="5401" width="16.28515625" style="365" bestFit="1" customWidth="1"/>
    <col min="5402" max="5632" width="8.85546875" style="365"/>
    <col min="5633" max="5638" width="3.85546875" style="365" customWidth="1"/>
    <col min="5639" max="5639" width="7.7109375" style="365" customWidth="1"/>
    <col min="5640" max="5640" width="108.7109375" style="365" customWidth="1"/>
    <col min="5641" max="5641" width="24.85546875" style="365" bestFit="1" customWidth="1"/>
    <col min="5642" max="5642" width="14" style="365" customWidth="1"/>
    <col min="5643" max="5643" width="19.5703125" style="365" customWidth="1"/>
    <col min="5644" max="5644" width="18.7109375" style="365" customWidth="1"/>
    <col min="5645" max="5645" width="21.140625" style="365" customWidth="1"/>
    <col min="5646" max="5646" width="18.140625" style="365" customWidth="1"/>
    <col min="5647" max="5647" width="17.7109375" style="365" customWidth="1"/>
    <col min="5648" max="5648" width="24.42578125" style="365" customWidth="1"/>
    <col min="5649" max="5649" width="25.85546875" style="365" customWidth="1"/>
    <col min="5650" max="5650" width="19.5703125" style="365" customWidth="1"/>
    <col min="5651" max="5651" width="21.140625" style="365" customWidth="1"/>
    <col min="5652" max="5652" width="18.7109375" style="365" customWidth="1"/>
    <col min="5653" max="5656" width="8.85546875" style="365"/>
    <col min="5657" max="5657" width="16.28515625" style="365" bestFit="1" customWidth="1"/>
    <col min="5658" max="5888" width="8.85546875" style="365"/>
    <col min="5889" max="5894" width="3.85546875" style="365" customWidth="1"/>
    <col min="5895" max="5895" width="7.7109375" style="365" customWidth="1"/>
    <col min="5896" max="5896" width="108.7109375" style="365" customWidth="1"/>
    <col min="5897" max="5897" width="24.85546875" style="365" bestFit="1" customWidth="1"/>
    <col min="5898" max="5898" width="14" style="365" customWidth="1"/>
    <col min="5899" max="5899" width="19.5703125" style="365" customWidth="1"/>
    <col min="5900" max="5900" width="18.7109375" style="365" customWidth="1"/>
    <col min="5901" max="5901" width="21.140625" style="365" customWidth="1"/>
    <col min="5902" max="5902" width="18.140625" style="365" customWidth="1"/>
    <col min="5903" max="5903" width="17.7109375" style="365" customWidth="1"/>
    <col min="5904" max="5904" width="24.42578125" style="365" customWidth="1"/>
    <col min="5905" max="5905" width="25.85546875" style="365" customWidth="1"/>
    <col min="5906" max="5906" width="19.5703125" style="365" customWidth="1"/>
    <col min="5907" max="5907" width="21.140625" style="365" customWidth="1"/>
    <col min="5908" max="5908" width="18.7109375" style="365" customWidth="1"/>
    <col min="5909" max="5912" width="8.85546875" style="365"/>
    <col min="5913" max="5913" width="16.28515625" style="365" bestFit="1" customWidth="1"/>
    <col min="5914" max="6144" width="8.85546875" style="365"/>
    <col min="6145" max="6150" width="3.85546875" style="365" customWidth="1"/>
    <col min="6151" max="6151" width="7.7109375" style="365" customWidth="1"/>
    <col min="6152" max="6152" width="108.7109375" style="365" customWidth="1"/>
    <col min="6153" max="6153" width="24.85546875" style="365" bestFit="1" customWidth="1"/>
    <col min="6154" max="6154" width="14" style="365" customWidth="1"/>
    <col min="6155" max="6155" width="19.5703125" style="365" customWidth="1"/>
    <col min="6156" max="6156" width="18.7109375" style="365" customWidth="1"/>
    <col min="6157" max="6157" width="21.140625" style="365" customWidth="1"/>
    <col min="6158" max="6158" width="18.140625" style="365" customWidth="1"/>
    <col min="6159" max="6159" width="17.7109375" style="365" customWidth="1"/>
    <col min="6160" max="6160" width="24.42578125" style="365" customWidth="1"/>
    <col min="6161" max="6161" width="25.85546875" style="365" customWidth="1"/>
    <col min="6162" max="6162" width="19.5703125" style="365" customWidth="1"/>
    <col min="6163" max="6163" width="21.140625" style="365" customWidth="1"/>
    <col min="6164" max="6164" width="18.7109375" style="365" customWidth="1"/>
    <col min="6165" max="6168" width="8.85546875" style="365"/>
    <col min="6169" max="6169" width="16.28515625" style="365" bestFit="1" customWidth="1"/>
    <col min="6170" max="6400" width="8.85546875" style="365"/>
    <col min="6401" max="6406" width="3.85546875" style="365" customWidth="1"/>
    <col min="6407" max="6407" width="7.7109375" style="365" customWidth="1"/>
    <col min="6408" max="6408" width="108.7109375" style="365" customWidth="1"/>
    <col min="6409" max="6409" width="24.85546875" style="365" bestFit="1" customWidth="1"/>
    <col min="6410" max="6410" width="14" style="365" customWidth="1"/>
    <col min="6411" max="6411" width="19.5703125" style="365" customWidth="1"/>
    <col min="6412" max="6412" width="18.7109375" style="365" customWidth="1"/>
    <col min="6413" max="6413" width="21.140625" style="365" customWidth="1"/>
    <col min="6414" max="6414" width="18.140625" style="365" customWidth="1"/>
    <col min="6415" max="6415" width="17.7109375" style="365" customWidth="1"/>
    <col min="6416" max="6416" width="24.42578125" style="365" customWidth="1"/>
    <col min="6417" max="6417" width="25.85546875" style="365" customWidth="1"/>
    <col min="6418" max="6418" width="19.5703125" style="365" customWidth="1"/>
    <col min="6419" max="6419" width="21.140625" style="365" customWidth="1"/>
    <col min="6420" max="6420" width="18.7109375" style="365" customWidth="1"/>
    <col min="6421" max="6424" width="8.85546875" style="365"/>
    <col min="6425" max="6425" width="16.28515625" style="365" bestFit="1" customWidth="1"/>
    <col min="6426" max="6656" width="8.85546875" style="365"/>
    <col min="6657" max="6662" width="3.85546875" style="365" customWidth="1"/>
    <col min="6663" max="6663" width="7.7109375" style="365" customWidth="1"/>
    <col min="6664" max="6664" width="108.7109375" style="365" customWidth="1"/>
    <col min="6665" max="6665" width="24.85546875" style="365" bestFit="1" customWidth="1"/>
    <col min="6666" max="6666" width="14" style="365" customWidth="1"/>
    <col min="6667" max="6667" width="19.5703125" style="365" customWidth="1"/>
    <col min="6668" max="6668" width="18.7109375" style="365" customWidth="1"/>
    <col min="6669" max="6669" width="21.140625" style="365" customWidth="1"/>
    <col min="6670" max="6670" width="18.140625" style="365" customWidth="1"/>
    <col min="6671" max="6671" width="17.7109375" style="365" customWidth="1"/>
    <col min="6672" max="6672" width="24.42578125" style="365" customWidth="1"/>
    <col min="6673" max="6673" width="25.85546875" style="365" customWidth="1"/>
    <col min="6674" max="6674" width="19.5703125" style="365" customWidth="1"/>
    <col min="6675" max="6675" width="21.140625" style="365" customWidth="1"/>
    <col min="6676" max="6676" width="18.7109375" style="365" customWidth="1"/>
    <col min="6677" max="6680" width="8.85546875" style="365"/>
    <col min="6681" max="6681" width="16.28515625" style="365" bestFit="1" customWidth="1"/>
    <col min="6682" max="6912" width="8.85546875" style="365"/>
    <col min="6913" max="6918" width="3.85546875" style="365" customWidth="1"/>
    <col min="6919" max="6919" width="7.7109375" style="365" customWidth="1"/>
    <col min="6920" max="6920" width="108.7109375" style="365" customWidth="1"/>
    <col min="6921" max="6921" width="24.85546875" style="365" bestFit="1" customWidth="1"/>
    <col min="6922" max="6922" width="14" style="365" customWidth="1"/>
    <col min="6923" max="6923" width="19.5703125" style="365" customWidth="1"/>
    <col min="6924" max="6924" width="18.7109375" style="365" customWidth="1"/>
    <col min="6925" max="6925" width="21.140625" style="365" customWidth="1"/>
    <col min="6926" max="6926" width="18.140625" style="365" customWidth="1"/>
    <col min="6927" max="6927" width="17.7109375" style="365" customWidth="1"/>
    <col min="6928" max="6928" width="24.42578125" style="365" customWidth="1"/>
    <col min="6929" max="6929" width="25.85546875" style="365" customWidth="1"/>
    <col min="6930" max="6930" width="19.5703125" style="365" customWidth="1"/>
    <col min="6931" max="6931" width="21.140625" style="365" customWidth="1"/>
    <col min="6932" max="6932" width="18.7109375" style="365" customWidth="1"/>
    <col min="6933" max="6936" width="8.85546875" style="365"/>
    <col min="6937" max="6937" width="16.28515625" style="365" bestFit="1" customWidth="1"/>
    <col min="6938" max="7168" width="8.85546875" style="365"/>
    <col min="7169" max="7174" width="3.85546875" style="365" customWidth="1"/>
    <col min="7175" max="7175" width="7.7109375" style="365" customWidth="1"/>
    <col min="7176" max="7176" width="108.7109375" style="365" customWidth="1"/>
    <col min="7177" max="7177" width="24.85546875" style="365" bestFit="1" customWidth="1"/>
    <col min="7178" max="7178" width="14" style="365" customWidth="1"/>
    <col min="7179" max="7179" width="19.5703125" style="365" customWidth="1"/>
    <col min="7180" max="7180" width="18.7109375" style="365" customWidth="1"/>
    <col min="7181" max="7181" width="21.140625" style="365" customWidth="1"/>
    <col min="7182" max="7182" width="18.140625" style="365" customWidth="1"/>
    <col min="7183" max="7183" width="17.7109375" style="365" customWidth="1"/>
    <col min="7184" max="7184" width="24.42578125" style="365" customWidth="1"/>
    <col min="7185" max="7185" width="25.85546875" style="365" customWidth="1"/>
    <col min="7186" max="7186" width="19.5703125" style="365" customWidth="1"/>
    <col min="7187" max="7187" width="21.140625" style="365" customWidth="1"/>
    <col min="7188" max="7188" width="18.7109375" style="365" customWidth="1"/>
    <col min="7189" max="7192" width="8.85546875" style="365"/>
    <col min="7193" max="7193" width="16.28515625" style="365" bestFit="1" customWidth="1"/>
    <col min="7194" max="7424" width="8.85546875" style="365"/>
    <col min="7425" max="7430" width="3.85546875" style="365" customWidth="1"/>
    <col min="7431" max="7431" width="7.7109375" style="365" customWidth="1"/>
    <col min="7432" max="7432" width="108.7109375" style="365" customWidth="1"/>
    <col min="7433" max="7433" width="24.85546875" style="365" bestFit="1" customWidth="1"/>
    <col min="7434" max="7434" width="14" style="365" customWidth="1"/>
    <col min="7435" max="7435" width="19.5703125" style="365" customWidth="1"/>
    <col min="7436" max="7436" width="18.7109375" style="365" customWidth="1"/>
    <col min="7437" max="7437" width="21.140625" style="365" customWidth="1"/>
    <col min="7438" max="7438" width="18.140625" style="365" customWidth="1"/>
    <col min="7439" max="7439" width="17.7109375" style="365" customWidth="1"/>
    <col min="7440" max="7440" width="24.42578125" style="365" customWidth="1"/>
    <col min="7441" max="7441" width="25.85546875" style="365" customWidth="1"/>
    <col min="7442" max="7442" width="19.5703125" style="365" customWidth="1"/>
    <col min="7443" max="7443" width="21.140625" style="365" customWidth="1"/>
    <col min="7444" max="7444" width="18.7109375" style="365" customWidth="1"/>
    <col min="7445" max="7448" width="8.85546875" style="365"/>
    <col min="7449" max="7449" width="16.28515625" style="365" bestFit="1" customWidth="1"/>
    <col min="7450" max="7680" width="8.85546875" style="365"/>
    <col min="7681" max="7686" width="3.85546875" style="365" customWidth="1"/>
    <col min="7687" max="7687" width="7.7109375" style="365" customWidth="1"/>
    <col min="7688" max="7688" width="108.7109375" style="365" customWidth="1"/>
    <col min="7689" max="7689" width="24.85546875" style="365" bestFit="1" customWidth="1"/>
    <col min="7690" max="7690" width="14" style="365" customWidth="1"/>
    <col min="7691" max="7691" width="19.5703125" style="365" customWidth="1"/>
    <col min="7692" max="7692" width="18.7109375" style="365" customWidth="1"/>
    <col min="7693" max="7693" width="21.140625" style="365" customWidth="1"/>
    <col min="7694" max="7694" width="18.140625" style="365" customWidth="1"/>
    <col min="7695" max="7695" width="17.7109375" style="365" customWidth="1"/>
    <col min="7696" max="7696" width="24.42578125" style="365" customWidth="1"/>
    <col min="7697" max="7697" width="25.85546875" style="365" customWidth="1"/>
    <col min="7698" max="7698" width="19.5703125" style="365" customWidth="1"/>
    <col min="7699" max="7699" width="21.140625" style="365" customWidth="1"/>
    <col min="7700" max="7700" width="18.7109375" style="365" customWidth="1"/>
    <col min="7701" max="7704" width="8.85546875" style="365"/>
    <col min="7705" max="7705" width="16.28515625" style="365" bestFit="1" customWidth="1"/>
    <col min="7706" max="7936" width="8.85546875" style="365"/>
    <col min="7937" max="7942" width="3.85546875" style="365" customWidth="1"/>
    <col min="7943" max="7943" width="7.7109375" style="365" customWidth="1"/>
    <col min="7944" max="7944" width="108.7109375" style="365" customWidth="1"/>
    <col min="7945" max="7945" width="24.85546875" style="365" bestFit="1" customWidth="1"/>
    <col min="7946" max="7946" width="14" style="365" customWidth="1"/>
    <col min="7947" max="7947" width="19.5703125" style="365" customWidth="1"/>
    <col min="7948" max="7948" width="18.7109375" style="365" customWidth="1"/>
    <col min="7949" max="7949" width="21.140625" style="365" customWidth="1"/>
    <col min="7950" max="7950" width="18.140625" style="365" customWidth="1"/>
    <col min="7951" max="7951" width="17.7109375" style="365" customWidth="1"/>
    <col min="7952" max="7952" width="24.42578125" style="365" customWidth="1"/>
    <col min="7953" max="7953" width="25.85546875" style="365" customWidth="1"/>
    <col min="7954" max="7954" width="19.5703125" style="365" customWidth="1"/>
    <col min="7955" max="7955" width="21.140625" style="365" customWidth="1"/>
    <col min="7956" max="7956" width="18.7109375" style="365" customWidth="1"/>
    <col min="7957" max="7960" width="8.85546875" style="365"/>
    <col min="7961" max="7961" width="16.28515625" style="365" bestFit="1" customWidth="1"/>
    <col min="7962" max="8192" width="8.85546875" style="365"/>
    <col min="8193" max="8198" width="3.85546875" style="365" customWidth="1"/>
    <col min="8199" max="8199" width="7.7109375" style="365" customWidth="1"/>
    <col min="8200" max="8200" width="108.7109375" style="365" customWidth="1"/>
    <col min="8201" max="8201" width="24.85546875" style="365" bestFit="1" customWidth="1"/>
    <col min="8202" max="8202" width="14" style="365" customWidth="1"/>
    <col min="8203" max="8203" width="19.5703125" style="365" customWidth="1"/>
    <col min="8204" max="8204" width="18.7109375" style="365" customWidth="1"/>
    <col min="8205" max="8205" width="21.140625" style="365" customWidth="1"/>
    <col min="8206" max="8206" width="18.140625" style="365" customWidth="1"/>
    <col min="8207" max="8207" width="17.7109375" style="365" customWidth="1"/>
    <col min="8208" max="8208" width="24.42578125" style="365" customWidth="1"/>
    <col min="8209" max="8209" width="25.85546875" style="365" customWidth="1"/>
    <col min="8210" max="8210" width="19.5703125" style="365" customWidth="1"/>
    <col min="8211" max="8211" width="21.140625" style="365" customWidth="1"/>
    <col min="8212" max="8212" width="18.7109375" style="365" customWidth="1"/>
    <col min="8213" max="8216" width="8.85546875" style="365"/>
    <col min="8217" max="8217" width="16.28515625" style="365" bestFit="1" customWidth="1"/>
    <col min="8218" max="8448" width="8.85546875" style="365"/>
    <col min="8449" max="8454" width="3.85546875" style="365" customWidth="1"/>
    <col min="8455" max="8455" width="7.7109375" style="365" customWidth="1"/>
    <col min="8456" max="8456" width="108.7109375" style="365" customWidth="1"/>
    <col min="8457" max="8457" width="24.85546875" style="365" bestFit="1" customWidth="1"/>
    <col min="8458" max="8458" width="14" style="365" customWidth="1"/>
    <col min="8459" max="8459" width="19.5703125" style="365" customWidth="1"/>
    <col min="8460" max="8460" width="18.7109375" style="365" customWidth="1"/>
    <col min="8461" max="8461" width="21.140625" style="365" customWidth="1"/>
    <col min="8462" max="8462" width="18.140625" style="365" customWidth="1"/>
    <col min="8463" max="8463" width="17.7109375" style="365" customWidth="1"/>
    <col min="8464" max="8464" width="24.42578125" style="365" customWidth="1"/>
    <col min="8465" max="8465" width="25.85546875" style="365" customWidth="1"/>
    <col min="8466" max="8466" width="19.5703125" style="365" customWidth="1"/>
    <col min="8467" max="8467" width="21.140625" style="365" customWidth="1"/>
    <col min="8468" max="8468" width="18.7109375" style="365" customWidth="1"/>
    <col min="8469" max="8472" width="8.85546875" style="365"/>
    <col min="8473" max="8473" width="16.28515625" style="365" bestFit="1" customWidth="1"/>
    <col min="8474" max="8704" width="8.85546875" style="365"/>
    <col min="8705" max="8710" width="3.85546875" style="365" customWidth="1"/>
    <col min="8711" max="8711" width="7.7109375" style="365" customWidth="1"/>
    <col min="8712" max="8712" width="108.7109375" style="365" customWidth="1"/>
    <col min="8713" max="8713" width="24.85546875" style="365" bestFit="1" customWidth="1"/>
    <col min="8714" max="8714" width="14" style="365" customWidth="1"/>
    <col min="8715" max="8715" width="19.5703125" style="365" customWidth="1"/>
    <col min="8716" max="8716" width="18.7109375" style="365" customWidth="1"/>
    <col min="8717" max="8717" width="21.140625" style="365" customWidth="1"/>
    <col min="8718" max="8718" width="18.140625" style="365" customWidth="1"/>
    <col min="8719" max="8719" width="17.7109375" style="365" customWidth="1"/>
    <col min="8720" max="8720" width="24.42578125" style="365" customWidth="1"/>
    <col min="8721" max="8721" width="25.85546875" style="365" customWidth="1"/>
    <col min="8722" max="8722" width="19.5703125" style="365" customWidth="1"/>
    <col min="8723" max="8723" width="21.140625" style="365" customWidth="1"/>
    <col min="8724" max="8724" width="18.7109375" style="365" customWidth="1"/>
    <col min="8725" max="8728" width="8.85546875" style="365"/>
    <col min="8729" max="8729" width="16.28515625" style="365" bestFit="1" customWidth="1"/>
    <col min="8730" max="8960" width="8.85546875" style="365"/>
    <col min="8961" max="8966" width="3.85546875" style="365" customWidth="1"/>
    <col min="8967" max="8967" width="7.7109375" style="365" customWidth="1"/>
    <col min="8968" max="8968" width="108.7109375" style="365" customWidth="1"/>
    <col min="8969" max="8969" width="24.85546875" style="365" bestFit="1" customWidth="1"/>
    <col min="8970" max="8970" width="14" style="365" customWidth="1"/>
    <col min="8971" max="8971" width="19.5703125" style="365" customWidth="1"/>
    <col min="8972" max="8972" width="18.7109375" style="365" customWidth="1"/>
    <col min="8973" max="8973" width="21.140625" style="365" customWidth="1"/>
    <col min="8974" max="8974" width="18.140625" style="365" customWidth="1"/>
    <col min="8975" max="8975" width="17.7109375" style="365" customWidth="1"/>
    <col min="8976" max="8976" width="24.42578125" style="365" customWidth="1"/>
    <col min="8977" max="8977" width="25.85546875" style="365" customWidth="1"/>
    <col min="8978" max="8978" width="19.5703125" style="365" customWidth="1"/>
    <col min="8979" max="8979" width="21.140625" style="365" customWidth="1"/>
    <col min="8980" max="8980" width="18.7109375" style="365" customWidth="1"/>
    <col min="8981" max="8984" width="8.85546875" style="365"/>
    <col min="8985" max="8985" width="16.28515625" style="365" bestFit="1" customWidth="1"/>
    <col min="8986" max="9216" width="8.85546875" style="365"/>
    <col min="9217" max="9222" width="3.85546875" style="365" customWidth="1"/>
    <col min="9223" max="9223" width="7.7109375" style="365" customWidth="1"/>
    <col min="9224" max="9224" width="108.7109375" style="365" customWidth="1"/>
    <col min="9225" max="9225" width="24.85546875" style="365" bestFit="1" customWidth="1"/>
    <col min="9226" max="9226" width="14" style="365" customWidth="1"/>
    <col min="9227" max="9227" width="19.5703125" style="365" customWidth="1"/>
    <col min="9228" max="9228" width="18.7109375" style="365" customWidth="1"/>
    <col min="9229" max="9229" width="21.140625" style="365" customWidth="1"/>
    <col min="9230" max="9230" width="18.140625" style="365" customWidth="1"/>
    <col min="9231" max="9231" width="17.7109375" style="365" customWidth="1"/>
    <col min="9232" max="9232" width="24.42578125" style="365" customWidth="1"/>
    <col min="9233" max="9233" width="25.85546875" style="365" customWidth="1"/>
    <col min="9234" max="9234" width="19.5703125" style="365" customWidth="1"/>
    <col min="9235" max="9235" width="21.140625" style="365" customWidth="1"/>
    <col min="9236" max="9236" width="18.7109375" style="365" customWidth="1"/>
    <col min="9237" max="9240" width="8.85546875" style="365"/>
    <col min="9241" max="9241" width="16.28515625" style="365" bestFit="1" customWidth="1"/>
    <col min="9242" max="9472" width="8.85546875" style="365"/>
    <col min="9473" max="9478" width="3.85546875" style="365" customWidth="1"/>
    <col min="9479" max="9479" width="7.7109375" style="365" customWidth="1"/>
    <col min="9480" max="9480" width="108.7109375" style="365" customWidth="1"/>
    <col min="9481" max="9481" width="24.85546875" style="365" bestFit="1" customWidth="1"/>
    <col min="9482" max="9482" width="14" style="365" customWidth="1"/>
    <col min="9483" max="9483" width="19.5703125" style="365" customWidth="1"/>
    <col min="9484" max="9484" width="18.7109375" style="365" customWidth="1"/>
    <col min="9485" max="9485" width="21.140625" style="365" customWidth="1"/>
    <col min="9486" max="9486" width="18.140625" style="365" customWidth="1"/>
    <col min="9487" max="9487" width="17.7109375" style="365" customWidth="1"/>
    <col min="9488" max="9488" width="24.42578125" style="365" customWidth="1"/>
    <col min="9489" max="9489" width="25.85546875" style="365" customWidth="1"/>
    <col min="9490" max="9490" width="19.5703125" style="365" customWidth="1"/>
    <col min="9491" max="9491" width="21.140625" style="365" customWidth="1"/>
    <col min="9492" max="9492" width="18.7109375" style="365" customWidth="1"/>
    <col min="9493" max="9496" width="8.85546875" style="365"/>
    <col min="9497" max="9497" width="16.28515625" style="365" bestFit="1" customWidth="1"/>
    <col min="9498" max="9728" width="8.85546875" style="365"/>
    <col min="9729" max="9734" width="3.85546875" style="365" customWidth="1"/>
    <col min="9735" max="9735" width="7.7109375" style="365" customWidth="1"/>
    <col min="9736" max="9736" width="108.7109375" style="365" customWidth="1"/>
    <col min="9737" max="9737" width="24.85546875" style="365" bestFit="1" customWidth="1"/>
    <col min="9738" max="9738" width="14" style="365" customWidth="1"/>
    <col min="9739" max="9739" width="19.5703125" style="365" customWidth="1"/>
    <col min="9740" max="9740" width="18.7109375" style="365" customWidth="1"/>
    <col min="9741" max="9741" width="21.140625" style="365" customWidth="1"/>
    <col min="9742" max="9742" width="18.140625" style="365" customWidth="1"/>
    <col min="9743" max="9743" width="17.7109375" style="365" customWidth="1"/>
    <col min="9744" max="9744" width="24.42578125" style="365" customWidth="1"/>
    <col min="9745" max="9745" width="25.85546875" style="365" customWidth="1"/>
    <col min="9746" max="9746" width="19.5703125" style="365" customWidth="1"/>
    <col min="9747" max="9747" width="21.140625" style="365" customWidth="1"/>
    <col min="9748" max="9748" width="18.7109375" style="365" customWidth="1"/>
    <col min="9749" max="9752" width="8.85546875" style="365"/>
    <col min="9753" max="9753" width="16.28515625" style="365" bestFit="1" customWidth="1"/>
    <col min="9754" max="9984" width="8.85546875" style="365"/>
    <col min="9985" max="9990" width="3.85546875" style="365" customWidth="1"/>
    <col min="9991" max="9991" width="7.7109375" style="365" customWidth="1"/>
    <col min="9992" max="9992" width="108.7109375" style="365" customWidth="1"/>
    <col min="9993" max="9993" width="24.85546875" style="365" bestFit="1" customWidth="1"/>
    <col min="9994" max="9994" width="14" style="365" customWidth="1"/>
    <col min="9995" max="9995" width="19.5703125" style="365" customWidth="1"/>
    <col min="9996" max="9996" width="18.7109375" style="365" customWidth="1"/>
    <col min="9997" max="9997" width="21.140625" style="365" customWidth="1"/>
    <col min="9998" max="9998" width="18.140625" style="365" customWidth="1"/>
    <col min="9999" max="9999" width="17.7109375" style="365" customWidth="1"/>
    <col min="10000" max="10000" width="24.42578125" style="365" customWidth="1"/>
    <col min="10001" max="10001" width="25.85546875" style="365" customWidth="1"/>
    <col min="10002" max="10002" width="19.5703125" style="365" customWidth="1"/>
    <col min="10003" max="10003" width="21.140625" style="365" customWidth="1"/>
    <col min="10004" max="10004" width="18.7109375" style="365" customWidth="1"/>
    <col min="10005" max="10008" width="8.85546875" style="365"/>
    <col min="10009" max="10009" width="16.28515625" style="365" bestFit="1" customWidth="1"/>
    <col min="10010" max="10240" width="8.85546875" style="365"/>
    <col min="10241" max="10246" width="3.85546875" style="365" customWidth="1"/>
    <col min="10247" max="10247" width="7.7109375" style="365" customWidth="1"/>
    <col min="10248" max="10248" width="108.7109375" style="365" customWidth="1"/>
    <col min="10249" max="10249" width="24.85546875" style="365" bestFit="1" customWidth="1"/>
    <col min="10250" max="10250" width="14" style="365" customWidth="1"/>
    <col min="10251" max="10251" width="19.5703125" style="365" customWidth="1"/>
    <col min="10252" max="10252" width="18.7109375" style="365" customWidth="1"/>
    <col min="10253" max="10253" width="21.140625" style="365" customWidth="1"/>
    <col min="10254" max="10254" width="18.140625" style="365" customWidth="1"/>
    <col min="10255" max="10255" width="17.7109375" style="365" customWidth="1"/>
    <col min="10256" max="10256" width="24.42578125" style="365" customWidth="1"/>
    <col min="10257" max="10257" width="25.85546875" style="365" customWidth="1"/>
    <col min="10258" max="10258" width="19.5703125" style="365" customWidth="1"/>
    <col min="10259" max="10259" width="21.140625" style="365" customWidth="1"/>
    <col min="10260" max="10260" width="18.7109375" style="365" customWidth="1"/>
    <col min="10261" max="10264" width="8.85546875" style="365"/>
    <col min="10265" max="10265" width="16.28515625" style="365" bestFit="1" customWidth="1"/>
    <col min="10266" max="10496" width="8.85546875" style="365"/>
    <col min="10497" max="10502" width="3.85546875" style="365" customWidth="1"/>
    <col min="10503" max="10503" width="7.7109375" style="365" customWidth="1"/>
    <col min="10504" max="10504" width="108.7109375" style="365" customWidth="1"/>
    <col min="10505" max="10505" width="24.85546875" style="365" bestFit="1" customWidth="1"/>
    <col min="10506" max="10506" width="14" style="365" customWidth="1"/>
    <col min="10507" max="10507" width="19.5703125" style="365" customWidth="1"/>
    <col min="10508" max="10508" width="18.7109375" style="365" customWidth="1"/>
    <col min="10509" max="10509" width="21.140625" style="365" customWidth="1"/>
    <col min="10510" max="10510" width="18.140625" style="365" customWidth="1"/>
    <col min="10511" max="10511" width="17.7109375" style="365" customWidth="1"/>
    <col min="10512" max="10512" width="24.42578125" style="365" customWidth="1"/>
    <col min="10513" max="10513" width="25.85546875" style="365" customWidth="1"/>
    <col min="10514" max="10514" width="19.5703125" style="365" customWidth="1"/>
    <col min="10515" max="10515" width="21.140625" style="365" customWidth="1"/>
    <col min="10516" max="10516" width="18.7109375" style="365" customWidth="1"/>
    <col min="10517" max="10520" width="8.85546875" style="365"/>
    <col min="10521" max="10521" width="16.28515625" style="365" bestFit="1" customWidth="1"/>
    <col min="10522" max="10752" width="8.85546875" style="365"/>
    <col min="10753" max="10758" width="3.85546875" style="365" customWidth="1"/>
    <col min="10759" max="10759" width="7.7109375" style="365" customWidth="1"/>
    <col min="10760" max="10760" width="108.7109375" style="365" customWidth="1"/>
    <col min="10761" max="10761" width="24.85546875" style="365" bestFit="1" customWidth="1"/>
    <col min="10762" max="10762" width="14" style="365" customWidth="1"/>
    <col min="10763" max="10763" width="19.5703125" style="365" customWidth="1"/>
    <col min="10764" max="10764" width="18.7109375" style="365" customWidth="1"/>
    <col min="10765" max="10765" width="21.140625" style="365" customWidth="1"/>
    <col min="10766" max="10766" width="18.140625" style="365" customWidth="1"/>
    <col min="10767" max="10767" width="17.7109375" style="365" customWidth="1"/>
    <col min="10768" max="10768" width="24.42578125" style="365" customWidth="1"/>
    <col min="10769" max="10769" width="25.85546875" style="365" customWidth="1"/>
    <col min="10770" max="10770" width="19.5703125" style="365" customWidth="1"/>
    <col min="10771" max="10771" width="21.140625" style="365" customWidth="1"/>
    <col min="10772" max="10772" width="18.7109375" style="365" customWidth="1"/>
    <col min="10773" max="10776" width="8.85546875" style="365"/>
    <col min="10777" max="10777" width="16.28515625" style="365" bestFit="1" customWidth="1"/>
    <col min="10778" max="11008" width="8.85546875" style="365"/>
    <col min="11009" max="11014" width="3.85546875" style="365" customWidth="1"/>
    <col min="11015" max="11015" width="7.7109375" style="365" customWidth="1"/>
    <col min="11016" max="11016" width="108.7109375" style="365" customWidth="1"/>
    <col min="11017" max="11017" width="24.85546875" style="365" bestFit="1" customWidth="1"/>
    <col min="11018" max="11018" width="14" style="365" customWidth="1"/>
    <col min="11019" max="11019" width="19.5703125" style="365" customWidth="1"/>
    <col min="11020" max="11020" width="18.7109375" style="365" customWidth="1"/>
    <col min="11021" max="11021" width="21.140625" style="365" customWidth="1"/>
    <col min="11022" max="11022" width="18.140625" style="365" customWidth="1"/>
    <col min="11023" max="11023" width="17.7109375" style="365" customWidth="1"/>
    <col min="11024" max="11024" width="24.42578125" style="365" customWidth="1"/>
    <col min="11025" max="11025" width="25.85546875" style="365" customWidth="1"/>
    <col min="11026" max="11026" width="19.5703125" style="365" customWidth="1"/>
    <col min="11027" max="11027" width="21.140625" style="365" customWidth="1"/>
    <col min="11028" max="11028" width="18.7109375" style="365" customWidth="1"/>
    <col min="11029" max="11032" width="8.85546875" style="365"/>
    <col min="11033" max="11033" width="16.28515625" style="365" bestFit="1" customWidth="1"/>
    <col min="11034" max="11264" width="8.85546875" style="365"/>
    <col min="11265" max="11270" width="3.85546875" style="365" customWidth="1"/>
    <col min="11271" max="11271" width="7.7109375" style="365" customWidth="1"/>
    <col min="11272" max="11272" width="108.7109375" style="365" customWidth="1"/>
    <col min="11273" max="11273" width="24.85546875" style="365" bestFit="1" customWidth="1"/>
    <col min="11274" max="11274" width="14" style="365" customWidth="1"/>
    <col min="11275" max="11275" width="19.5703125" style="365" customWidth="1"/>
    <col min="11276" max="11276" width="18.7109375" style="365" customWidth="1"/>
    <col min="11277" max="11277" width="21.140625" style="365" customWidth="1"/>
    <col min="11278" max="11278" width="18.140625" style="365" customWidth="1"/>
    <col min="11279" max="11279" width="17.7109375" style="365" customWidth="1"/>
    <col min="11280" max="11280" width="24.42578125" style="365" customWidth="1"/>
    <col min="11281" max="11281" width="25.85546875" style="365" customWidth="1"/>
    <col min="11282" max="11282" width="19.5703125" style="365" customWidth="1"/>
    <col min="11283" max="11283" width="21.140625" style="365" customWidth="1"/>
    <col min="11284" max="11284" width="18.7109375" style="365" customWidth="1"/>
    <col min="11285" max="11288" width="8.85546875" style="365"/>
    <col min="11289" max="11289" width="16.28515625" style="365" bestFit="1" customWidth="1"/>
    <col min="11290" max="11520" width="8.85546875" style="365"/>
    <col min="11521" max="11526" width="3.85546875" style="365" customWidth="1"/>
    <col min="11527" max="11527" width="7.7109375" style="365" customWidth="1"/>
    <col min="11528" max="11528" width="108.7109375" style="365" customWidth="1"/>
    <col min="11529" max="11529" width="24.85546875" style="365" bestFit="1" customWidth="1"/>
    <col min="11530" max="11530" width="14" style="365" customWidth="1"/>
    <col min="11531" max="11531" width="19.5703125" style="365" customWidth="1"/>
    <col min="11532" max="11532" width="18.7109375" style="365" customWidth="1"/>
    <col min="11533" max="11533" width="21.140625" style="365" customWidth="1"/>
    <col min="11534" max="11534" width="18.140625" style="365" customWidth="1"/>
    <col min="11535" max="11535" width="17.7109375" style="365" customWidth="1"/>
    <col min="11536" max="11536" width="24.42578125" style="365" customWidth="1"/>
    <col min="11537" max="11537" width="25.85546875" style="365" customWidth="1"/>
    <col min="11538" max="11538" width="19.5703125" style="365" customWidth="1"/>
    <col min="11539" max="11539" width="21.140625" style="365" customWidth="1"/>
    <col min="11540" max="11540" width="18.7109375" style="365" customWidth="1"/>
    <col min="11541" max="11544" width="8.85546875" style="365"/>
    <col min="11545" max="11545" width="16.28515625" style="365" bestFit="1" customWidth="1"/>
    <col min="11546" max="11776" width="8.85546875" style="365"/>
    <col min="11777" max="11782" width="3.85546875" style="365" customWidth="1"/>
    <col min="11783" max="11783" width="7.7109375" style="365" customWidth="1"/>
    <col min="11784" max="11784" width="108.7109375" style="365" customWidth="1"/>
    <col min="11785" max="11785" width="24.85546875" style="365" bestFit="1" customWidth="1"/>
    <col min="11786" max="11786" width="14" style="365" customWidth="1"/>
    <col min="11787" max="11787" width="19.5703125" style="365" customWidth="1"/>
    <col min="11788" max="11788" width="18.7109375" style="365" customWidth="1"/>
    <col min="11789" max="11789" width="21.140625" style="365" customWidth="1"/>
    <col min="11790" max="11790" width="18.140625" style="365" customWidth="1"/>
    <col min="11791" max="11791" width="17.7109375" style="365" customWidth="1"/>
    <col min="11792" max="11792" width="24.42578125" style="365" customWidth="1"/>
    <col min="11793" max="11793" width="25.85546875" style="365" customWidth="1"/>
    <col min="11794" max="11794" width="19.5703125" style="365" customWidth="1"/>
    <col min="11795" max="11795" width="21.140625" style="365" customWidth="1"/>
    <col min="11796" max="11796" width="18.7109375" style="365" customWidth="1"/>
    <col min="11797" max="11800" width="8.85546875" style="365"/>
    <col min="11801" max="11801" width="16.28515625" style="365" bestFit="1" customWidth="1"/>
    <col min="11802" max="12032" width="8.85546875" style="365"/>
    <col min="12033" max="12038" width="3.85546875" style="365" customWidth="1"/>
    <col min="12039" max="12039" width="7.7109375" style="365" customWidth="1"/>
    <col min="12040" max="12040" width="108.7109375" style="365" customWidth="1"/>
    <col min="12041" max="12041" width="24.85546875" style="365" bestFit="1" customWidth="1"/>
    <col min="12042" max="12042" width="14" style="365" customWidth="1"/>
    <col min="12043" max="12043" width="19.5703125" style="365" customWidth="1"/>
    <col min="12044" max="12044" width="18.7109375" style="365" customWidth="1"/>
    <col min="12045" max="12045" width="21.140625" style="365" customWidth="1"/>
    <col min="12046" max="12046" width="18.140625" style="365" customWidth="1"/>
    <col min="12047" max="12047" width="17.7109375" style="365" customWidth="1"/>
    <col min="12048" max="12048" width="24.42578125" style="365" customWidth="1"/>
    <col min="12049" max="12049" width="25.85546875" style="365" customWidth="1"/>
    <col min="12050" max="12050" width="19.5703125" style="365" customWidth="1"/>
    <col min="12051" max="12051" width="21.140625" style="365" customWidth="1"/>
    <col min="12052" max="12052" width="18.7109375" style="365" customWidth="1"/>
    <col min="12053" max="12056" width="8.85546875" style="365"/>
    <col min="12057" max="12057" width="16.28515625" style="365" bestFit="1" customWidth="1"/>
    <col min="12058" max="12288" width="8.85546875" style="365"/>
    <col min="12289" max="12294" width="3.85546875" style="365" customWidth="1"/>
    <col min="12295" max="12295" width="7.7109375" style="365" customWidth="1"/>
    <col min="12296" max="12296" width="108.7109375" style="365" customWidth="1"/>
    <col min="12297" max="12297" width="24.85546875" style="365" bestFit="1" customWidth="1"/>
    <col min="12298" max="12298" width="14" style="365" customWidth="1"/>
    <col min="12299" max="12299" width="19.5703125" style="365" customWidth="1"/>
    <col min="12300" max="12300" width="18.7109375" style="365" customWidth="1"/>
    <col min="12301" max="12301" width="21.140625" style="365" customWidth="1"/>
    <col min="12302" max="12302" width="18.140625" style="365" customWidth="1"/>
    <col min="12303" max="12303" width="17.7109375" style="365" customWidth="1"/>
    <col min="12304" max="12304" width="24.42578125" style="365" customWidth="1"/>
    <col min="12305" max="12305" width="25.85546875" style="365" customWidth="1"/>
    <col min="12306" max="12306" width="19.5703125" style="365" customWidth="1"/>
    <col min="12307" max="12307" width="21.140625" style="365" customWidth="1"/>
    <col min="12308" max="12308" width="18.7109375" style="365" customWidth="1"/>
    <col min="12309" max="12312" width="8.85546875" style="365"/>
    <col min="12313" max="12313" width="16.28515625" style="365" bestFit="1" customWidth="1"/>
    <col min="12314" max="12544" width="8.85546875" style="365"/>
    <col min="12545" max="12550" width="3.85546875" style="365" customWidth="1"/>
    <col min="12551" max="12551" width="7.7109375" style="365" customWidth="1"/>
    <col min="12552" max="12552" width="108.7109375" style="365" customWidth="1"/>
    <col min="12553" max="12553" width="24.85546875" style="365" bestFit="1" customWidth="1"/>
    <col min="12554" max="12554" width="14" style="365" customWidth="1"/>
    <col min="12555" max="12555" width="19.5703125" style="365" customWidth="1"/>
    <col min="12556" max="12556" width="18.7109375" style="365" customWidth="1"/>
    <col min="12557" max="12557" width="21.140625" style="365" customWidth="1"/>
    <col min="12558" max="12558" width="18.140625" style="365" customWidth="1"/>
    <col min="12559" max="12559" width="17.7109375" style="365" customWidth="1"/>
    <col min="12560" max="12560" width="24.42578125" style="365" customWidth="1"/>
    <col min="12561" max="12561" width="25.85546875" style="365" customWidth="1"/>
    <col min="12562" max="12562" width="19.5703125" style="365" customWidth="1"/>
    <col min="12563" max="12563" width="21.140625" style="365" customWidth="1"/>
    <col min="12564" max="12564" width="18.7109375" style="365" customWidth="1"/>
    <col min="12565" max="12568" width="8.85546875" style="365"/>
    <col min="12569" max="12569" width="16.28515625" style="365" bestFit="1" customWidth="1"/>
    <col min="12570" max="12800" width="8.85546875" style="365"/>
    <col min="12801" max="12806" width="3.85546875" style="365" customWidth="1"/>
    <col min="12807" max="12807" width="7.7109375" style="365" customWidth="1"/>
    <col min="12808" max="12808" width="108.7109375" style="365" customWidth="1"/>
    <col min="12809" max="12809" width="24.85546875" style="365" bestFit="1" customWidth="1"/>
    <col min="12810" max="12810" width="14" style="365" customWidth="1"/>
    <col min="12811" max="12811" width="19.5703125" style="365" customWidth="1"/>
    <col min="12812" max="12812" width="18.7109375" style="365" customWidth="1"/>
    <col min="12813" max="12813" width="21.140625" style="365" customWidth="1"/>
    <col min="12814" max="12814" width="18.140625" style="365" customWidth="1"/>
    <col min="12815" max="12815" width="17.7109375" style="365" customWidth="1"/>
    <col min="12816" max="12816" width="24.42578125" style="365" customWidth="1"/>
    <col min="12817" max="12817" width="25.85546875" style="365" customWidth="1"/>
    <col min="12818" max="12818" width="19.5703125" style="365" customWidth="1"/>
    <col min="12819" max="12819" width="21.140625" style="365" customWidth="1"/>
    <col min="12820" max="12820" width="18.7109375" style="365" customWidth="1"/>
    <col min="12821" max="12824" width="8.85546875" style="365"/>
    <col min="12825" max="12825" width="16.28515625" style="365" bestFit="1" customWidth="1"/>
    <col min="12826" max="13056" width="8.85546875" style="365"/>
    <col min="13057" max="13062" width="3.85546875" style="365" customWidth="1"/>
    <col min="13063" max="13063" width="7.7109375" style="365" customWidth="1"/>
    <col min="13064" max="13064" width="108.7109375" style="365" customWidth="1"/>
    <col min="13065" max="13065" width="24.85546875" style="365" bestFit="1" customWidth="1"/>
    <col min="13066" max="13066" width="14" style="365" customWidth="1"/>
    <col min="13067" max="13067" width="19.5703125" style="365" customWidth="1"/>
    <col min="13068" max="13068" width="18.7109375" style="365" customWidth="1"/>
    <col min="13069" max="13069" width="21.140625" style="365" customWidth="1"/>
    <col min="13070" max="13070" width="18.140625" style="365" customWidth="1"/>
    <col min="13071" max="13071" width="17.7109375" style="365" customWidth="1"/>
    <col min="13072" max="13072" width="24.42578125" style="365" customWidth="1"/>
    <col min="13073" max="13073" width="25.85546875" style="365" customWidth="1"/>
    <col min="13074" max="13074" width="19.5703125" style="365" customWidth="1"/>
    <col min="13075" max="13075" width="21.140625" style="365" customWidth="1"/>
    <col min="13076" max="13076" width="18.7109375" style="365" customWidth="1"/>
    <col min="13077" max="13080" width="8.85546875" style="365"/>
    <col min="13081" max="13081" width="16.28515625" style="365" bestFit="1" customWidth="1"/>
    <col min="13082" max="13312" width="8.85546875" style="365"/>
    <col min="13313" max="13318" width="3.85546875" style="365" customWidth="1"/>
    <col min="13319" max="13319" width="7.7109375" style="365" customWidth="1"/>
    <col min="13320" max="13320" width="108.7109375" style="365" customWidth="1"/>
    <col min="13321" max="13321" width="24.85546875" style="365" bestFit="1" customWidth="1"/>
    <col min="13322" max="13322" width="14" style="365" customWidth="1"/>
    <col min="13323" max="13323" width="19.5703125" style="365" customWidth="1"/>
    <col min="13324" max="13324" width="18.7109375" style="365" customWidth="1"/>
    <col min="13325" max="13325" width="21.140625" style="365" customWidth="1"/>
    <col min="13326" max="13326" width="18.140625" style="365" customWidth="1"/>
    <col min="13327" max="13327" width="17.7109375" style="365" customWidth="1"/>
    <col min="13328" max="13328" width="24.42578125" style="365" customWidth="1"/>
    <col min="13329" max="13329" width="25.85546875" style="365" customWidth="1"/>
    <col min="13330" max="13330" width="19.5703125" style="365" customWidth="1"/>
    <col min="13331" max="13331" width="21.140625" style="365" customWidth="1"/>
    <col min="13332" max="13332" width="18.7109375" style="365" customWidth="1"/>
    <col min="13333" max="13336" width="8.85546875" style="365"/>
    <col min="13337" max="13337" width="16.28515625" style="365" bestFit="1" customWidth="1"/>
    <col min="13338" max="13568" width="8.85546875" style="365"/>
    <col min="13569" max="13574" width="3.85546875" style="365" customWidth="1"/>
    <col min="13575" max="13575" width="7.7109375" style="365" customWidth="1"/>
    <col min="13576" max="13576" width="108.7109375" style="365" customWidth="1"/>
    <col min="13577" max="13577" width="24.85546875" style="365" bestFit="1" customWidth="1"/>
    <col min="13578" max="13578" width="14" style="365" customWidth="1"/>
    <col min="13579" max="13579" width="19.5703125" style="365" customWidth="1"/>
    <col min="13580" max="13580" width="18.7109375" style="365" customWidth="1"/>
    <col min="13581" max="13581" width="21.140625" style="365" customWidth="1"/>
    <col min="13582" max="13582" width="18.140625" style="365" customWidth="1"/>
    <col min="13583" max="13583" width="17.7109375" style="365" customWidth="1"/>
    <col min="13584" max="13584" width="24.42578125" style="365" customWidth="1"/>
    <col min="13585" max="13585" width="25.85546875" style="365" customWidth="1"/>
    <col min="13586" max="13586" width="19.5703125" style="365" customWidth="1"/>
    <col min="13587" max="13587" width="21.140625" style="365" customWidth="1"/>
    <col min="13588" max="13588" width="18.7109375" style="365" customWidth="1"/>
    <col min="13589" max="13592" width="8.85546875" style="365"/>
    <col min="13593" max="13593" width="16.28515625" style="365" bestFit="1" customWidth="1"/>
    <col min="13594" max="13824" width="8.85546875" style="365"/>
    <col min="13825" max="13830" width="3.85546875" style="365" customWidth="1"/>
    <col min="13831" max="13831" width="7.7109375" style="365" customWidth="1"/>
    <col min="13832" max="13832" width="108.7109375" style="365" customWidth="1"/>
    <col min="13833" max="13833" width="24.85546875" style="365" bestFit="1" customWidth="1"/>
    <col min="13834" max="13834" width="14" style="365" customWidth="1"/>
    <col min="13835" max="13835" width="19.5703125" style="365" customWidth="1"/>
    <col min="13836" max="13836" width="18.7109375" style="365" customWidth="1"/>
    <col min="13837" max="13837" width="21.140625" style="365" customWidth="1"/>
    <col min="13838" max="13838" width="18.140625" style="365" customWidth="1"/>
    <col min="13839" max="13839" width="17.7109375" style="365" customWidth="1"/>
    <col min="13840" max="13840" width="24.42578125" style="365" customWidth="1"/>
    <col min="13841" max="13841" width="25.85546875" style="365" customWidth="1"/>
    <col min="13842" max="13842" width="19.5703125" style="365" customWidth="1"/>
    <col min="13843" max="13843" width="21.140625" style="365" customWidth="1"/>
    <col min="13844" max="13844" width="18.7109375" style="365" customWidth="1"/>
    <col min="13845" max="13848" width="8.85546875" style="365"/>
    <col min="13849" max="13849" width="16.28515625" style="365" bestFit="1" customWidth="1"/>
    <col min="13850" max="14080" width="8.85546875" style="365"/>
    <col min="14081" max="14086" width="3.85546875" style="365" customWidth="1"/>
    <col min="14087" max="14087" width="7.7109375" style="365" customWidth="1"/>
    <col min="14088" max="14088" width="108.7109375" style="365" customWidth="1"/>
    <col min="14089" max="14089" width="24.85546875" style="365" bestFit="1" customWidth="1"/>
    <col min="14090" max="14090" width="14" style="365" customWidth="1"/>
    <col min="14091" max="14091" width="19.5703125" style="365" customWidth="1"/>
    <col min="14092" max="14092" width="18.7109375" style="365" customWidth="1"/>
    <col min="14093" max="14093" width="21.140625" style="365" customWidth="1"/>
    <col min="14094" max="14094" width="18.140625" style="365" customWidth="1"/>
    <col min="14095" max="14095" width="17.7109375" style="365" customWidth="1"/>
    <col min="14096" max="14096" width="24.42578125" style="365" customWidth="1"/>
    <col min="14097" max="14097" width="25.85546875" style="365" customWidth="1"/>
    <col min="14098" max="14098" width="19.5703125" style="365" customWidth="1"/>
    <col min="14099" max="14099" width="21.140625" style="365" customWidth="1"/>
    <col min="14100" max="14100" width="18.7109375" style="365" customWidth="1"/>
    <col min="14101" max="14104" width="8.85546875" style="365"/>
    <col min="14105" max="14105" width="16.28515625" style="365" bestFit="1" customWidth="1"/>
    <col min="14106" max="14336" width="8.85546875" style="365"/>
    <col min="14337" max="14342" width="3.85546875" style="365" customWidth="1"/>
    <col min="14343" max="14343" width="7.7109375" style="365" customWidth="1"/>
    <col min="14344" max="14344" width="108.7109375" style="365" customWidth="1"/>
    <col min="14345" max="14345" width="24.85546875" style="365" bestFit="1" customWidth="1"/>
    <col min="14346" max="14346" width="14" style="365" customWidth="1"/>
    <col min="14347" max="14347" width="19.5703125" style="365" customWidth="1"/>
    <col min="14348" max="14348" width="18.7109375" style="365" customWidth="1"/>
    <col min="14349" max="14349" width="21.140625" style="365" customWidth="1"/>
    <col min="14350" max="14350" width="18.140625" style="365" customWidth="1"/>
    <col min="14351" max="14351" width="17.7109375" style="365" customWidth="1"/>
    <col min="14352" max="14352" width="24.42578125" style="365" customWidth="1"/>
    <col min="14353" max="14353" width="25.85546875" style="365" customWidth="1"/>
    <col min="14354" max="14354" width="19.5703125" style="365" customWidth="1"/>
    <col min="14355" max="14355" width="21.140625" style="365" customWidth="1"/>
    <col min="14356" max="14356" width="18.7109375" style="365" customWidth="1"/>
    <col min="14357" max="14360" width="8.85546875" style="365"/>
    <col min="14361" max="14361" width="16.28515625" style="365" bestFit="1" customWidth="1"/>
    <col min="14362" max="14592" width="8.85546875" style="365"/>
    <col min="14593" max="14598" width="3.85546875" style="365" customWidth="1"/>
    <col min="14599" max="14599" width="7.7109375" style="365" customWidth="1"/>
    <col min="14600" max="14600" width="108.7109375" style="365" customWidth="1"/>
    <col min="14601" max="14601" width="24.85546875" style="365" bestFit="1" customWidth="1"/>
    <col min="14602" max="14602" width="14" style="365" customWidth="1"/>
    <col min="14603" max="14603" width="19.5703125" style="365" customWidth="1"/>
    <col min="14604" max="14604" width="18.7109375" style="365" customWidth="1"/>
    <col min="14605" max="14605" width="21.140625" style="365" customWidth="1"/>
    <col min="14606" max="14606" width="18.140625" style="365" customWidth="1"/>
    <col min="14607" max="14607" width="17.7109375" style="365" customWidth="1"/>
    <col min="14608" max="14608" width="24.42578125" style="365" customWidth="1"/>
    <col min="14609" max="14609" width="25.85546875" style="365" customWidth="1"/>
    <col min="14610" max="14610" width="19.5703125" style="365" customWidth="1"/>
    <col min="14611" max="14611" width="21.140625" style="365" customWidth="1"/>
    <col min="14612" max="14612" width="18.7109375" style="365" customWidth="1"/>
    <col min="14613" max="14616" width="8.85546875" style="365"/>
    <col min="14617" max="14617" width="16.28515625" style="365" bestFit="1" customWidth="1"/>
    <col min="14618" max="14848" width="8.85546875" style="365"/>
    <col min="14849" max="14854" width="3.85546875" style="365" customWidth="1"/>
    <col min="14855" max="14855" width="7.7109375" style="365" customWidth="1"/>
    <col min="14856" max="14856" width="108.7109375" style="365" customWidth="1"/>
    <col min="14857" max="14857" width="24.85546875" style="365" bestFit="1" customWidth="1"/>
    <col min="14858" max="14858" width="14" style="365" customWidth="1"/>
    <col min="14859" max="14859" width="19.5703125" style="365" customWidth="1"/>
    <col min="14860" max="14860" width="18.7109375" style="365" customWidth="1"/>
    <col min="14861" max="14861" width="21.140625" style="365" customWidth="1"/>
    <col min="14862" max="14862" width="18.140625" style="365" customWidth="1"/>
    <col min="14863" max="14863" width="17.7109375" style="365" customWidth="1"/>
    <col min="14864" max="14864" width="24.42578125" style="365" customWidth="1"/>
    <col min="14865" max="14865" width="25.85546875" style="365" customWidth="1"/>
    <col min="14866" max="14866" width="19.5703125" style="365" customWidth="1"/>
    <col min="14867" max="14867" width="21.140625" style="365" customWidth="1"/>
    <col min="14868" max="14868" width="18.7109375" style="365" customWidth="1"/>
    <col min="14869" max="14872" width="8.85546875" style="365"/>
    <col min="14873" max="14873" width="16.28515625" style="365" bestFit="1" customWidth="1"/>
    <col min="14874" max="15104" width="8.85546875" style="365"/>
    <col min="15105" max="15110" width="3.85546875" style="365" customWidth="1"/>
    <col min="15111" max="15111" width="7.7109375" style="365" customWidth="1"/>
    <col min="15112" max="15112" width="108.7109375" style="365" customWidth="1"/>
    <col min="15113" max="15113" width="24.85546875" style="365" bestFit="1" customWidth="1"/>
    <col min="15114" max="15114" width="14" style="365" customWidth="1"/>
    <col min="15115" max="15115" width="19.5703125" style="365" customWidth="1"/>
    <col min="15116" max="15116" width="18.7109375" style="365" customWidth="1"/>
    <col min="15117" max="15117" width="21.140625" style="365" customWidth="1"/>
    <col min="15118" max="15118" width="18.140625" style="365" customWidth="1"/>
    <col min="15119" max="15119" width="17.7109375" style="365" customWidth="1"/>
    <col min="15120" max="15120" width="24.42578125" style="365" customWidth="1"/>
    <col min="15121" max="15121" width="25.85546875" style="365" customWidth="1"/>
    <col min="15122" max="15122" width="19.5703125" style="365" customWidth="1"/>
    <col min="15123" max="15123" width="21.140625" style="365" customWidth="1"/>
    <col min="15124" max="15124" width="18.7109375" style="365" customWidth="1"/>
    <col min="15125" max="15128" width="8.85546875" style="365"/>
    <col min="15129" max="15129" width="16.28515625" style="365" bestFit="1" customWidth="1"/>
    <col min="15130" max="15360" width="8.85546875" style="365"/>
    <col min="15361" max="15366" width="3.85546875" style="365" customWidth="1"/>
    <col min="15367" max="15367" width="7.7109375" style="365" customWidth="1"/>
    <col min="15368" max="15368" width="108.7109375" style="365" customWidth="1"/>
    <col min="15369" max="15369" width="24.85546875" style="365" bestFit="1" customWidth="1"/>
    <col min="15370" max="15370" width="14" style="365" customWidth="1"/>
    <col min="15371" max="15371" width="19.5703125" style="365" customWidth="1"/>
    <col min="15372" max="15372" width="18.7109375" style="365" customWidth="1"/>
    <col min="15373" max="15373" width="21.140625" style="365" customWidth="1"/>
    <col min="15374" max="15374" width="18.140625" style="365" customWidth="1"/>
    <col min="15375" max="15375" width="17.7109375" style="365" customWidth="1"/>
    <col min="15376" max="15376" width="24.42578125" style="365" customWidth="1"/>
    <col min="15377" max="15377" width="25.85546875" style="365" customWidth="1"/>
    <col min="15378" max="15378" width="19.5703125" style="365" customWidth="1"/>
    <col min="15379" max="15379" width="21.140625" style="365" customWidth="1"/>
    <col min="15380" max="15380" width="18.7109375" style="365" customWidth="1"/>
    <col min="15381" max="15384" width="8.85546875" style="365"/>
    <col min="15385" max="15385" width="16.28515625" style="365" bestFit="1" customWidth="1"/>
    <col min="15386" max="15616" width="8.85546875" style="365"/>
    <col min="15617" max="15622" width="3.85546875" style="365" customWidth="1"/>
    <col min="15623" max="15623" width="7.7109375" style="365" customWidth="1"/>
    <col min="15624" max="15624" width="108.7109375" style="365" customWidth="1"/>
    <col min="15625" max="15625" width="24.85546875" style="365" bestFit="1" customWidth="1"/>
    <col min="15626" max="15626" width="14" style="365" customWidth="1"/>
    <col min="15627" max="15627" width="19.5703125" style="365" customWidth="1"/>
    <col min="15628" max="15628" width="18.7109375" style="365" customWidth="1"/>
    <col min="15629" max="15629" width="21.140625" style="365" customWidth="1"/>
    <col min="15630" max="15630" width="18.140625" style="365" customWidth="1"/>
    <col min="15631" max="15631" width="17.7109375" style="365" customWidth="1"/>
    <col min="15632" max="15632" width="24.42578125" style="365" customWidth="1"/>
    <col min="15633" max="15633" width="25.85546875" style="365" customWidth="1"/>
    <col min="15634" max="15634" width="19.5703125" style="365" customWidth="1"/>
    <col min="15635" max="15635" width="21.140625" style="365" customWidth="1"/>
    <col min="15636" max="15636" width="18.7109375" style="365" customWidth="1"/>
    <col min="15637" max="15640" width="8.85546875" style="365"/>
    <col min="15641" max="15641" width="16.28515625" style="365" bestFit="1" customWidth="1"/>
    <col min="15642" max="15872" width="8.85546875" style="365"/>
    <col min="15873" max="15878" width="3.85546875" style="365" customWidth="1"/>
    <col min="15879" max="15879" width="7.7109375" style="365" customWidth="1"/>
    <col min="15880" max="15880" width="108.7109375" style="365" customWidth="1"/>
    <col min="15881" max="15881" width="24.85546875" style="365" bestFit="1" customWidth="1"/>
    <col min="15882" max="15882" width="14" style="365" customWidth="1"/>
    <col min="15883" max="15883" width="19.5703125" style="365" customWidth="1"/>
    <col min="15884" max="15884" width="18.7109375" style="365" customWidth="1"/>
    <col min="15885" max="15885" width="21.140625" style="365" customWidth="1"/>
    <col min="15886" max="15886" width="18.140625" style="365" customWidth="1"/>
    <col min="15887" max="15887" width="17.7109375" style="365" customWidth="1"/>
    <col min="15888" max="15888" width="24.42578125" style="365" customWidth="1"/>
    <col min="15889" max="15889" width="25.85546875" style="365" customWidth="1"/>
    <col min="15890" max="15890" width="19.5703125" style="365" customWidth="1"/>
    <col min="15891" max="15891" width="21.140625" style="365" customWidth="1"/>
    <col min="15892" max="15892" width="18.7109375" style="365" customWidth="1"/>
    <col min="15893" max="15896" width="8.85546875" style="365"/>
    <col min="15897" max="15897" width="16.28515625" style="365" bestFit="1" customWidth="1"/>
    <col min="15898" max="16128" width="8.85546875" style="365"/>
    <col min="16129" max="16134" width="3.85546875" style="365" customWidth="1"/>
    <col min="16135" max="16135" width="7.7109375" style="365" customWidth="1"/>
    <col min="16136" max="16136" width="108.7109375" style="365" customWidth="1"/>
    <col min="16137" max="16137" width="24.85546875" style="365" bestFit="1" customWidth="1"/>
    <col min="16138" max="16138" width="14" style="365" customWidth="1"/>
    <col min="16139" max="16139" width="19.5703125" style="365" customWidth="1"/>
    <col min="16140" max="16140" width="18.7109375" style="365" customWidth="1"/>
    <col min="16141" max="16141" width="21.140625" style="365" customWidth="1"/>
    <col min="16142" max="16142" width="18.140625" style="365" customWidth="1"/>
    <col min="16143" max="16143" width="17.7109375" style="365" customWidth="1"/>
    <col min="16144" max="16144" width="24.42578125" style="365" customWidth="1"/>
    <col min="16145" max="16145" width="25.85546875" style="365" customWidth="1"/>
    <col min="16146" max="16146" width="19.5703125" style="365" customWidth="1"/>
    <col min="16147" max="16147" width="21.140625" style="365" customWidth="1"/>
    <col min="16148" max="16148" width="18.7109375" style="365" customWidth="1"/>
    <col min="16149" max="16152" width="8.85546875" style="365"/>
    <col min="16153" max="16153" width="16.28515625" style="365" bestFit="1" customWidth="1"/>
    <col min="16154" max="16384" width="8.85546875" style="365"/>
  </cols>
  <sheetData>
    <row r="1" spans="1:25" ht="26.25">
      <c r="A1" s="748" t="s">
        <v>1013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</row>
    <row r="2" spans="1:25" ht="26.25">
      <c r="A2" s="748" t="s">
        <v>1014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</row>
    <row r="3" spans="1:25" ht="26.25">
      <c r="A3" s="748" t="s">
        <v>946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8"/>
      <c r="R3" s="748"/>
      <c r="S3" s="748"/>
      <c r="T3" s="748"/>
      <c r="Y3" s="417"/>
    </row>
    <row r="4" spans="1:25">
      <c r="A4" s="366"/>
      <c r="B4" s="366"/>
      <c r="C4" s="366"/>
      <c r="D4" s="366"/>
      <c r="E4" s="366"/>
      <c r="F4" s="366"/>
      <c r="H4" s="366"/>
      <c r="I4" s="419"/>
      <c r="Y4" s="417"/>
    </row>
    <row r="5" spans="1:25">
      <c r="A5" s="366"/>
      <c r="B5" s="366"/>
      <c r="C5" s="366"/>
      <c r="D5" s="366"/>
      <c r="E5" s="366"/>
      <c r="F5" s="366"/>
      <c r="H5" s="366"/>
      <c r="I5" s="417">
        <f>I12-I66</f>
        <v>-136685780</v>
      </c>
      <c r="J5" s="417"/>
      <c r="K5" s="417">
        <f t="shared" ref="K5:S5" si="0">K12-K66</f>
        <v>0</v>
      </c>
      <c r="L5" s="417">
        <f>L12-L66</f>
        <v>0</v>
      </c>
      <c r="M5" s="417">
        <f t="shared" si="0"/>
        <v>0</v>
      </c>
      <c r="N5" s="417">
        <f t="shared" si="0"/>
        <v>0</v>
      </c>
      <c r="O5" s="417">
        <f t="shared" si="0"/>
        <v>0</v>
      </c>
      <c r="P5" s="417">
        <f t="shared" si="0"/>
        <v>-108285780</v>
      </c>
      <c r="Q5" s="417">
        <f t="shared" si="0"/>
        <v>0</v>
      </c>
      <c r="R5" s="417">
        <f t="shared" si="0"/>
        <v>0</v>
      </c>
      <c r="S5" s="417">
        <f t="shared" si="0"/>
        <v>0</v>
      </c>
      <c r="T5" s="417">
        <f>T12-T66</f>
        <v>-28400000</v>
      </c>
      <c r="Y5" s="417">
        <f>I5-T5</f>
        <v>-108285780</v>
      </c>
    </row>
    <row r="6" spans="1:25" s="420" customFormat="1" ht="24" customHeight="1">
      <c r="A6" s="749" t="s">
        <v>1015</v>
      </c>
      <c r="B6" s="749"/>
      <c r="C6" s="749"/>
      <c r="D6" s="749"/>
      <c r="E6" s="749"/>
      <c r="F6" s="749"/>
      <c r="G6" s="749"/>
      <c r="H6" s="749" t="s">
        <v>1016</v>
      </c>
      <c r="I6" s="750" t="s">
        <v>1017</v>
      </c>
      <c r="J6" s="752" t="s">
        <v>1018</v>
      </c>
      <c r="K6" s="753" t="s">
        <v>1018</v>
      </c>
      <c r="L6" s="754"/>
      <c r="M6" s="754"/>
      <c r="N6" s="754"/>
      <c r="O6" s="754"/>
      <c r="P6" s="754"/>
      <c r="Q6" s="754"/>
      <c r="R6" s="754"/>
      <c r="S6" s="754"/>
      <c r="T6" s="755"/>
    </row>
    <row r="7" spans="1:25" s="420" customFormat="1" ht="24" customHeight="1">
      <c r="A7" s="749"/>
      <c r="B7" s="749"/>
      <c r="C7" s="749"/>
      <c r="D7" s="749"/>
      <c r="E7" s="749"/>
      <c r="F7" s="749"/>
      <c r="G7" s="749"/>
      <c r="H7" s="749"/>
      <c r="I7" s="750"/>
      <c r="J7" s="752"/>
      <c r="K7" s="756"/>
      <c r="L7" s="757"/>
      <c r="M7" s="757"/>
      <c r="N7" s="757"/>
      <c r="O7" s="757"/>
      <c r="P7" s="757"/>
      <c r="Q7" s="757"/>
      <c r="R7" s="757"/>
      <c r="S7" s="757"/>
      <c r="T7" s="758"/>
    </row>
    <row r="8" spans="1:25" s="421" customFormat="1" ht="24" customHeight="1">
      <c r="A8" s="749"/>
      <c r="B8" s="749"/>
      <c r="C8" s="749"/>
      <c r="D8" s="749"/>
      <c r="E8" s="749"/>
      <c r="F8" s="749"/>
      <c r="G8" s="749"/>
      <c r="H8" s="749"/>
      <c r="I8" s="750"/>
      <c r="J8" s="752"/>
      <c r="K8" s="749" t="s">
        <v>1019</v>
      </c>
      <c r="L8" s="749" t="s">
        <v>1020</v>
      </c>
      <c r="M8" s="752" t="s">
        <v>1021</v>
      </c>
      <c r="N8" s="752" t="s">
        <v>1022</v>
      </c>
      <c r="O8" s="749" t="s">
        <v>1023</v>
      </c>
      <c r="P8" s="749" t="s">
        <v>914</v>
      </c>
      <c r="Q8" s="749" t="s">
        <v>9</v>
      </c>
      <c r="R8" s="749" t="s">
        <v>1024</v>
      </c>
      <c r="S8" s="763" t="s">
        <v>1025</v>
      </c>
      <c r="T8" s="749" t="s">
        <v>1026</v>
      </c>
    </row>
    <row r="9" spans="1:25" s="421" customFormat="1" ht="24" customHeight="1">
      <c r="A9" s="749"/>
      <c r="B9" s="749"/>
      <c r="C9" s="749"/>
      <c r="D9" s="749"/>
      <c r="E9" s="749"/>
      <c r="F9" s="749"/>
      <c r="G9" s="749"/>
      <c r="H9" s="749"/>
      <c r="I9" s="751"/>
      <c r="J9" s="752"/>
      <c r="K9" s="749"/>
      <c r="L9" s="749"/>
      <c r="M9" s="752"/>
      <c r="N9" s="752"/>
      <c r="O9" s="749"/>
      <c r="P9" s="749"/>
      <c r="Q9" s="749"/>
      <c r="R9" s="749"/>
      <c r="S9" s="764"/>
      <c r="T9" s="749"/>
    </row>
    <row r="10" spans="1:25" s="423" customFormat="1" ht="18.75">
      <c r="A10" s="759">
        <v>1</v>
      </c>
      <c r="B10" s="759"/>
      <c r="C10" s="759"/>
      <c r="D10" s="759">
        <v>2</v>
      </c>
      <c r="E10" s="759"/>
      <c r="F10" s="759"/>
      <c r="G10" s="759"/>
      <c r="H10" s="422">
        <v>3</v>
      </c>
      <c r="I10" s="422">
        <v>6</v>
      </c>
      <c r="J10" s="422">
        <v>7</v>
      </c>
      <c r="K10" s="422">
        <v>8</v>
      </c>
      <c r="L10" s="422">
        <v>9</v>
      </c>
      <c r="M10" s="422">
        <v>10</v>
      </c>
      <c r="N10" s="422">
        <v>11</v>
      </c>
      <c r="O10" s="422">
        <v>12</v>
      </c>
      <c r="P10" s="422">
        <v>13</v>
      </c>
      <c r="Q10" s="422">
        <v>14</v>
      </c>
      <c r="R10" s="422">
        <v>15</v>
      </c>
      <c r="S10" s="422">
        <v>16</v>
      </c>
      <c r="T10" s="422">
        <v>17</v>
      </c>
    </row>
    <row r="11" spans="1:25" s="423" customFormat="1" ht="21" customHeight="1">
      <c r="A11" s="424" t="s">
        <v>236</v>
      </c>
      <c r="B11" s="424" t="s">
        <v>237</v>
      </c>
      <c r="C11" s="424" t="s">
        <v>238</v>
      </c>
      <c r="D11" s="424" t="s">
        <v>236</v>
      </c>
      <c r="E11" s="424" t="s">
        <v>237</v>
      </c>
      <c r="F11" s="424" t="s">
        <v>238</v>
      </c>
      <c r="G11" s="425" t="s">
        <v>239</v>
      </c>
      <c r="H11" s="424"/>
      <c r="I11" s="426"/>
      <c r="J11" s="424"/>
      <c r="K11" s="427"/>
      <c r="L11" s="427"/>
      <c r="M11" s="427"/>
      <c r="N11" s="427"/>
      <c r="O11" s="427"/>
      <c r="P11" s="427"/>
      <c r="Q11" s="427"/>
      <c r="R11" s="427"/>
      <c r="S11" s="427"/>
      <c r="T11" s="427"/>
    </row>
    <row r="12" spans="1:25" s="420" customFormat="1" ht="21" customHeight="1">
      <c r="A12" s="428"/>
      <c r="B12" s="428"/>
      <c r="C12" s="428"/>
      <c r="D12" s="429">
        <v>4</v>
      </c>
      <c r="E12" s="429" t="s">
        <v>956</v>
      </c>
      <c r="F12" s="429" t="s">
        <v>956</v>
      </c>
      <c r="G12" s="430"/>
      <c r="H12" s="429" t="s">
        <v>957</v>
      </c>
      <c r="I12" s="431">
        <f>I13+I36+I49</f>
        <v>2500926700</v>
      </c>
      <c r="J12" s="432">
        <f t="shared" ref="J12:T12" si="1">J13+J36+J49</f>
        <v>0</v>
      </c>
      <c r="K12" s="431">
        <f t="shared" si="1"/>
        <v>8000000</v>
      </c>
      <c r="L12" s="431">
        <f t="shared" si="1"/>
        <v>3600000</v>
      </c>
      <c r="M12" s="431">
        <f t="shared" si="1"/>
        <v>0</v>
      </c>
      <c r="N12" s="431">
        <f t="shared" si="1"/>
        <v>2250000</v>
      </c>
      <c r="O12" s="431">
        <f t="shared" si="1"/>
        <v>1500000</v>
      </c>
      <c r="P12" s="431">
        <f t="shared" si="1"/>
        <v>1198676000</v>
      </c>
      <c r="Q12" s="431">
        <f t="shared" si="1"/>
        <v>867093200</v>
      </c>
      <c r="R12" s="431">
        <f t="shared" si="1"/>
        <v>69807500</v>
      </c>
      <c r="S12" s="431">
        <f t="shared" si="1"/>
        <v>350000000</v>
      </c>
      <c r="T12" s="431">
        <f t="shared" si="1"/>
        <v>0</v>
      </c>
      <c r="Y12" s="420">
        <f>2031032240-2023832240</f>
        <v>7200000</v>
      </c>
    </row>
    <row r="13" spans="1:25" s="420" customFormat="1" ht="21" customHeight="1">
      <c r="A13" s="428"/>
      <c r="B13" s="428"/>
      <c r="C13" s="428"/>
      <c r="D13" s="429">
        <v>4</v>
      </c>
      <c r="E13" s="429">
        <v>1</v>
      </c>
      <c r="F13" s="429" t="s">
        <v>956</v>
      </c>
      <c r="G13" s="430"/>
      <c r="H13" s="429" t="s">
        <v>958</v>
      </c>
      <c r="I13" s="431">
        <f>I14+I17+I30+I33</f>
        <v>13850000</v>
      </c>
      <c r="J13" s="431">
        <f t="shared" ref="J13:T13" si="2">J14+J17+J30+J33</f>
        <v>0</v>
      </c>
      <c r="K13" s="431">
        <f t="shared" si="2"/>
        <v>8000000</v>
      </c>
      <c r="L13" s="431">
        <f t="shared" si="2"/>
        <v>3600000</v>
      </c>
      <c r="M13" s="431">
        <f t="shared" si="2"/>
        <v>0</v>
      </c>
      <c r="N13" s="431">
        <f t="shared" si="2"/>
        <v>2250000</v>
      </c>
      <c r="O13" s="431">
        <f t="shared" si="2"/>
        <v>0</v>
      </c>
      <c r="P13" s="431">
        <f t="shared" si="2"/>
        <v>0</v>
      </c>
      <c r="Q13" s="431">
        <f t="shared" si="2"/>
        <v>0</v>
      </c>
      <c r="R13" s="431">
        <f t="shared" si="2"/>
        <v>0</v>
      </c>
      <c r="S13" s="431">
        <f t="shared" si="2"/>
        <v>0</v>
      </c>
      <c r="T13" s="431">
        <f t="shared" si="2"/>
        <v>0</v>
      </c>
    </row>
    <row r="14" spans="1:25" s="436" customFormat="1" ht="21" customHeight="1">
      <c r="A14" s="433"/>
      <c r="B14" s="433"/>
      <c r="C14" s="433"/>
      <c r="D14" s="429">
        <v>4</v>
      </c>
      <c r="E14" s="434">
        <v>1</v>
      </c>
      <c r="F14" s="434">
        <v>1</v>
      </c>
      <c r="G14" s="435"/>
      <c r="H14" s="434" t="s">
        <v>959</v>
      </c>
      <c r="I14" s="431">
        <f>SUM(I15:I16)</f>
        <v>0</v>
      </c>
      <c r="J14" s="432">
        <f t="shared" ref="J14:T14" si="3">SUM(J15:J16)</f>
        <v>0</v>
      </c>
      <c r="K14" s="431">
        <f t="shared" si="3"/>
        <v>0</v>
      </c>
      <c r="L14" s="431">
        <f t="shared" si="3"/>
        <v>0</v>
      </c>
      <c r="M14" s="431">
        <f t="shared" si="3"/>
        <v>0</v>
      </c>
      <c r="N14" s="431">
        <f t="shared" si="3"/>
        <v>0</v>
      </c>
      <c r="O14" s="431">
        <f t="shared" si="3"/>
        <v>0</v>
      </c>
      <c r="P14" s="431">
        <f t="shared" si="3"/>
        <v>0</v>
      </c>
      <c r="Q14" s="431">
        <f t="shared" si="3"/>
        <v>0</v>
      </c>
      <c r="R14" s="431">
        <f t="shared" si="3"/>
        <v>0</v>
      </c>
      <c r="S14" s="431">
        <f t="shared" si="3"/>
        <v>0</v>
      </c>
      <c r="T14" s="431">
        <f t="shared" si="3"/>
        <v>0</v>
      </c>
    </row>
    <row r="15" spans="1:25" s="423" customFormat="1" ht="21" customHeight="1">
      <c r="A15" s="437"/>
      <c r="B15" s="437"/>
      <c r="C15" s="437"/>
      <c r="D15" s="438">
        <v>4</v>
      </c>
      <c r="E15" s="438">
        <v>1</v>
      </c>
      <c r="F15" s="438">
        <v>1</v>
      </c>
      <c r="G15" s="439" t="s">
        <v>960</v>
      </c>
      <c r="H15" s="438" t="s">
        <v>961</v>
      </c>
      <c r="I15" s="440">
        <f t="shared" ref="I15:I63" si="4">SUM(K15:T15)</f>
        <v>0</v>
      </c>
      <c r="J15" s="441"/>
      <c r="K15" s="442"/>
      <c r="L15" s="442"/>
      <c r="M15" s="442"/>
      <c r="N15" s="442"/>
      <c r="O15" s="442"/>
      <c r="P15" s="442"/>
      <c r="Q15" s="442"/>
      <c r="R15" s="442"/>
      <c r="S15" s="442"/>
      <c r="T15" s="442"/>
    </row>
    <row r="16" spans="1:25" s="423" customFormat="1" ht="21" customHeight="1">
      <c r="A16" s="437"/>
      <c r="B16" s="437"/>
      <c r="C16" s="437"/>
      <c r="D16" s="438">
        <v>4</v>
      </c>
      <c r="E16" s="438">
        <v>1</v>
      </c>
      <c r="F16" s="438">
        <v>1</v>
      </c>
      <c r="G16" s="443" t="s">
        <v>962</v>
      </c>
      <c r="H16" s="438" t="s">
        <v>963</v>
      </c>
      <c r="I16" s="440">
        <f t="shared" si="4"/>
        <v>0</v>
      </c>
      <c r="J16" s="441"/>
      <c r="K16" s="442"/>
      <c r="L16" s="442"/>
      <c r="M16" s="442"/>
      <c r="N16" s="442"/>
      <c r="O16" s="442"/>
      <c r="P16" s="442"/>
      <c r="Q16" s="442"/>
      <c r="R16" s="442"/>
      <c r="S16" s="442"/>
      <c r="T16" s="442"/>
    </row>
    <row r="17" spans="1:20" s="436" customFormat="1" ht="19.5" customHeight="1">
      <c r="A17" s="433"/>
      <c r="B17" s="433"/>
      <c r="C17" s="433"/>
      <c r="D17" s="429">
        <v>4</v>
      </c>
      <c r="E17" s="434">
        <v>1</v>
      </c>
      <c r="F17" s="434">
        <v>2</v>
      </c>
      <c r="G17" s="435"/>
      <c r="H17" s="434" t="s">
        <v>964</v>
      </c>
      <c r="I17" s="431">
        <f>SUM(I18:I26)</f>
        <v>13850000</v>
      </c>
      <c r="J17" s="432">
        <f t="shared" ref="J17:T17" si="5">SUM(J18:J26)</f>
        <v>0</v>
      </c>
      <c r="K17" s="431">
        <f t="shared" si="5"/>
        <v>8000000</v>
      </c>
      <c r="L17" s="431">
        <f>SUM(L18:L26)</f>
        <v>3600000</v>
      </c>
      <c r="M17" s="431">
        <f t="shared" si="5"/>
        <v>0</v>
      </c>
      <c r="N17" s="431">
        <f>SUM(N18:N26)</f>
        <v>2250000</v>
      </c>
      <c r="O17" s="431">
        <f t="shared" si="5"/>
        <v>0</v>
      </c>
      <c r="P17" s="431">
        <f t="shared" si="5"/>
        <v>0</v>
      </c>
      <c r="Q17" s="431">
        <f t="shared" si="5"/>
        <v>0</v>
      </c>
      <c r="R17" s="431">
        <f t="shared" si="5"/>
        <v>0</v>
      </c>
      <c r="S17" s="431">
        <f t="shared" si="5"/>
        <v>0</v>
      </c>
      <c r="T17" s="431">
        <f t="shared" si="5"/>
        <v>0</v>
      </c>
    </row>
    <row r="18" spans="1:20" s="423" customFormat="1" ht="18" customHeight="1">
      <c r="A18" s="437"/>
      <c r="B18" s="437"/>
      <c r="C18" s="437"/>
      <c r="D18" s="438">
        <v>4</v>
      </c>
      <c r="E18" s="438">
        <v>1</v>
      </c>
      <c r="F18" s="438">
        <v>2</v>
      </c>
      <c r="G18" s="439" t="s">
        <v>960</v>
      </c>
      <c r="H18" s="438" t="s">
        <v>965</v>
      </c>
      <c r="I18" s="440">
        <f>SUM(K18:T18)</f>
        <v>8000000</v>
      </c>
      <c r="J18" s="441"/>
      <c r="K18" s="442">
        <v>8000000</v>
      </c>
      <c r="L18" s="442"/>
      <c r="M18" s="442"/>
      <c r="N18" s="442"/>
      <c r="O18" s="442"/>
      <c r="P18" s="442"/>
      <c r="Q18" s="442"/>
      <c r="R18" s="442"/>
      <c r="S18" s="442"/>
      <c r="T18" s="442"/>
    </row>
    <row r="19" spans="1:20" s="423" customFormat="1" ht="18" customHeight="1">
      <c r="A19" s="437"/>
      <c r="B19" s="437"/>
      <c r="C19" s="437"/>
      <c r="D19" s="438">
        <v>4</v>
      </c>
      <c r="E19" s="438">
        <v>1</v>
      </c>
      <c r="F19" s="438">
        <v>2</v>
      </c>
      <c r="G19" s="439" t="s">
        <v>966</v>
      </c>
      <c r="H19" s="438" t="s">
        <v>967</v>
      </c>
      <c r="I19" s="440">
        <f t="shared" si="4"/>
        <v>0</v>
      </c>
      <c r="J19" s="441"/>
      <c r="K19" s="442"/>
      <c r="L19" s="442"/>
      <c r="M19" s="442"/>
      <c r="N19" s="442"/>
      <c r="O19" s="442"/>
      <c r="P19" s="442"/>
      <c r="Q19" s="442"/>
      <c r="R19" s="442"/>
      <c r="S19" s="442"/>
      <c r="T19" s="442"/>
    </row>
    <row r="20" spans="1:20" s="423" customFormat="1" ht="18" customHeight="1">
      <c r="A20" s="437"/>
      <c r="B20" s="437"/>
      <c r="C20" s="437"/>
      <c r="D20" s="438">
        <v>4</v>
      </c>
      <c r="E20" s="438">
        <v>1</v>
      </c>
      <c r="F20" s="438">
        <v>2</v>
      </c>
      <c r="G20" s="439" t="s">
        <v>968</v>
      </c>
      <c r="H20" s="438" t="s">
        <v>969</v>
      </c>
      <c r="I20" s="440">
        <f t="shared" si="4"/>
        <v>0</v>
      </c>
      <c r="J20" s="441"/>
      <c r="K20" s="442"/>
      <c r="L20" s="442"/>
      <c r="M20" s="442"/>
      <c r="N20" s="442"/>
      <c r="O20" s="442"/>
      <c r="P20" s="442"/>
      <c r="Q20" s="442"/>
      <c r="R20" s="442"/>
      <c r="S20" s="442"/>
      <c r="T20" s="442"/>
    </row>
    <row r="21" spans="1:20" s="423" customFormat="1" ht="18" customHeight="1">
      <c r="A21" s="437"/>
      <c r="B21" s="437"/>
      <c r="C21" s="437"/>
      <c r="D21" s="438">
        <v>4</v>
      </c>
      <c r="E21" s="438">
        <v>1</v>
      </c>
      <c r="F21" s="438">
        <v>2</v>
      </c>
      <c r="G21" s="439" t="s">
        <v>970</v>
      </c>
      <c r="H21" s="438" t="s">
        <v>971</v>
      </c>
      <c r="I21" s="440">
        <f t="shared" si="4"/>
        <v>0</v>
      </c>
      <c r="J21" s="441"/>
      <c r="K21" s="442"/>
      <c r="L21" s="442"/>
      <c r="M21" s="442"/>
      <c r="N21" s="442"/>
      <c r="O21" s="442"/>
      <c r="P21" s="442"/>
      <c r="Q21" s="442"/>
      <c r="R21" s="442"/>
      <c r="S21" s="442"/>
      <c r="T21" s="442"/>
    </row>
    <row r="22" spans="1:20" s="423" customFormat="1" ht="21" customHeight="1">
      <c r="A22" s="437"/>
      <c r="B22" s="437"/>
      <c r="C22" s="437"/>
      <c r="D22" s="438">
        <v>4</v>
      </c>
      <c r="E22" s="438">
        <v>1</v>
      </c>
      <c r="F22" s="438">
        <v>2</v>
      </c>
      <c r="G22" s="439" t="s">
        <v>972</v>
      </c>
      <c r="H22" s="438" t="s">
        <v>973</v>
      </c>
      <c r="I22" s="440">
        <f t="shared" si="4"/>
        <v>0</v>
      </c>
      <c r="J22" s="441"/>
      <c r="K22" s="442"/>
      <c r="L22" s="442"/>
      <c r="M22" s="442"/>
      <c r="N22" s="442"/>
      <c r="O22" s="442"/>
      <c r="P22" s="442"/>
      <c r="Q22" s="442"/>
      <c r="R22" s="442"/>
      <c r="S22" s="442"/>
      <c r="T22" s="442"/>
    </row>
    <row r="23" spans="1:20" s="423" customFormat="1" ht="21" customHeight="1">
      <c r="A23" s="437"/>
      <c r="B23" s="437"/>
      <c r="C23" s="437"/>
      <c r="D23" s="438">
        <v>4</v>
      </c>
      <c r="E23" s="438">
        <v>1</v>
      </c>
      <c r="F23" s="438">
        <v>2</v>
      </c>
      <c r="G23" s="439" t="s">
        <v>974</v>
      </c>
      <c r="H23" s="438" t="s">
        <v>975</v>
      </c>
      <c r="I23" s="440">
        <f t="shared" si="4"/>
        <v>0</v>
      </c>
      <c r="J23" s="441"/>
      <c r="K23" s="442"/>
      <c r="L23" s="442"/>
      <c r="M23" s="442"/>
      <c r="N23" s="442"/>
      <c r="O23" s="442"/>
      <c r="P23" s="442"/>
      <c r="Q23" s="442"/>
      <c r="R23" s="442"/>
      <c r="S23" s="442"/>
      <c r="T23" s="442"/>
    </row>
    <row r="24" spans="1:20" s="423" customFormat="1" ht="21" customHeight="1">
      <c r="A24" s="437"/>
      <c r="B24" s="437"/>
      <c r="C24" s="437"/>
      <c r="D24" s="438">
        <v>4</v>
      </c>
      <c r="E24" s="438">
        <v>1</v>
      </c>
      <c r="F24" s="438">
        <v>2</v>
      </c>
      <c r="G24" s="439" t="s">
        <v>976</v>
      </c>
      <c r="H24" s="438" t="s">
        <v>977</v>
      </c>
      <c r="I24" s="440">
        <f t="shared" si="4"/>
        <v>3600000</v>
      </c>
      <c r="J24" s="441"/>
      <c r="K24" s="442"/>
      <c r="L24" s="442">
        <v>3600000</v>
      </c>
      <c r="M24" s="442"/>
      <c r="N24" s="442"/>
      <c r="O24" s="442"/>
      <c r="P24" s="442"/>
      <c r="Q24" s="442"/>
      <c r="R24" s="442"/>
      <c r="S24" s="442"/>
      <c r="T24" s="442"/>
    </row>
    <row r="25" spans="1:20" s="423" customFormat="1" ht="21" customHeight="1">
      <c r="A25" s="437"/>
      <c r="B25" s="437"/>
      <c r="C25" s="437"/>
      <c r="D25" s="438">
        <v>4</v>
      </c>
      <c r="E25" s="438">
        <v>1</v>
      </c>
      <c r="F25" s="438">
        <v>2</v>
      </c>
      <c r="G25" s="439" t="s">
        <v>978</v>
      </c>
      <c r="H25" s="438" t="s">
        <v>979</v>
      </c>
      <c r="I25" s="440">
        <f t="shared" si="4"/>
        <v>0</v>
      </c>
      <c r="J25" s="441"/>
      <c r="K25" s="442"/>
      <c r="L25" s="442"/>
      <c r="M25" s="442"/>
      <c r="N25" s="442"/>
      <c r="O25" s="442"/>
      <c r="P25" s="442"/>
      <c r="Q25" s="442"/>
      <c r="R25" s="442"/>
      <c r="S25" s="442"/>
      <c r="T25" s="442"/>
    </row>
    <row r="26" spans="1:20" s="420" customFormat="1" ht="21" customHeight="1">
      <c r="A26" s="428"/>
      <c r="B26" s="428"/>
      <c r="C26" s="428"/>
      <c r="D26" s="429">
        <v>4</v>
      </c>
      <c r="E26" s="429">
        <v>1</v>
      </c>
      <c r="F26" s="429">
        <v>2</v>
      </c>
      <c r="G26" s="430" t="s">
        <v>962</v>
      </c>
      <c r="H26" s="429" t="s">
        <v>963</v>
      </c>
      <c r="I26" s="431">
        <f>SUM(I27:I29)</f>
        <v>2250000</v>
      </c>
      <c r="J26" s="432">
        <f t="shared" ref="J26:T26" si="6">SUM(J27:J29)</f>
        <v>0</v>
      </c>
      <c r="K26" s="431">
        <f t="shared" si="6"/>
        <v>0</v>
      </c>
      <c r="L26" s="431">
        <f t="shared" si="6"/>
        <v>0</v>
      </c>
      <c r="M26" s="431">
        <f t="shared" si="6"/>
        <v>0</v>
      </c>
      <c r="N26" s="431">
        <f>SUM(N27:N29)</f>
        <v>2250000</v>
      </c>
      <c r="O26" s="431">
        <f t="shared" si="6"/>
        <v>0</v>
      </c>
      <c r="P26" s="431">
        <f t="shared" si="6"/>
        <v>0</v>
      </c>
      <c r="Q26" s="431">
        <f t="shared" si="6"/>
        <v>0</v>
      </c>
      <c r="R26" s="431">
        <f t="shared" si="6"/>
        <v>0</v>
      </c>
      <c r="S26" s="431">
        <f t="shared" si="6"/>
        <v>0</v>
      </c>
      <c r="T26" s="431">
        <f t="shared" si="6"/>
        <v>0</v>
      </c>
    </row>
    <row r="27" spans="1:20" s="423" customFormat="1" ht="21" customHeight="1">
      <c r="A27" s="437"/>
      <c r="B27" s="437"/>
      <c r="C27" s="437"/>
      <c r="D27" s="438"/>
      <c r="E27" s="438"/>
      <c r="F27" s="438"/>
      <c r="G27" s="443"/>
      <c r="H27" s="438" t="s">
        <v>980</v>
      </c>
      <c r="I27" s="440">
        <f t="shared" si="4"/>
        <v>1000000</v>
      </c>
      <c r="J27" s="441"/>
      <c r="K27" s="442"/>
      <c r="L27" s="442"/>
      <c r="M27" s="442"/>
      <c r="N27" s="442">
        <v>1000000</v>
      </c>
      <c r="O27" s="442"/>
      <c r="P27" s="442"/>
      <c r="Q27" s="442"/>
      <c r="R27" s="442"/>
      <c r="S27" s="442"/>
      <c r="T27" s="442"/>
    </row>
    <row r="28" spans="1:20" s="423" customFormat="1" ht="21" customHeight="1">
      <c r="A28" s="437"/>
      <c r="B28" s="437"/>
      <c r="C28" s="437"/>
      <c r="D28" s="438"/>
      <c r="E28" s="438"/>
      <c r="F28" s="438"/>
      <c r="G28" s="443"/>
      <c r="H28" s="438" t="s">
        <v>981</v>
      </c>
      <c r="I28" s="440">
        <f t="shared" si="4"/>
        <v>250000</v>
      </c>
      <c r="J28" s="441"/>
      <c r="K28" s="442"/>
      <c r="L28" s="442"/>
      <c r="M28" s="442"/>
      <c r="N28" s="442">
        <v>250000</v>
      </c>
      <c r="O28" s="442"/>
      <c r="P28" s="442"/>
      <c r="Q28" s="442"/>
      <c r="R28" s="442"/>
      <c r="S28" s="442"/>
      <c r="T28" s="442"/>
    </row>
    <row r="29" spans="1:20" s="423" customFormat="1" ht="21" customHeight="1">
      <c r="A29" s="437"/>
      <c r="B29" s="437"/>
      <c r="C29" s="437"/>
      <c r="D29" s="438"/>
      <c r="E29" s="438"/>
      <c r="F29" s="438"/>
      <c r="G29" s="443"/>
      <c r="H29" s="438" t="s">
        <v>982</v>
      </c>
      <c r="I29" s="440">
        <f t="shared" si="4"/>
        <v>1000000</v>
      </c>
      <c r="J29" s="441"/>
      <c r="K29" s="442"/>
      <c r="L29" s="442"/>
      <c r="M29" s="442"/>
      <c r="N29" s="442">
        <v>1000000</v>
      </c>
      <c r="O29" s="442"/>
      <c r="P29" s="442"/>
      <c r="Q29" s="442"/>
      <c r="R29" s="442"/>
      <c r="S29" s="442"/>
      <c r="T29" s="442"/>
    </row>
    <row r="30" spans="1:20" s="436" customFormat="1" ht="18" customHeight="1">
      <c r="A30" s="433"/>
      <c r="B30" s="433"/>
      <c r="C30" s="433"/>
      <c r="D30" s="429">
        <v>4</v>
      </c>
      <c r="E30" s="434">
        <v>1</v>
      </c>
      <c r="F30" s="434">
        <v>3</v>
      </c>
      <c r="G30" s="435"/>
      <c r="H30" s="434" t="s">
        <v>983</v>
      </c>
      <c r="I30" s="431">
        <f>SUM(I31:I32)</f>
        <v>0</v>
      </c>
      <c r="J30" s="432">
        <f t="shared" ref="J30:T30" si="7">SUM(J31:J32)</f>
        <v>0</v>
      </c>
      <c r="K30" s="431">
        <f t="shared" si="7"/>
        <v>0</v>
      </c>
      <c r="L30" s="431">
        <f t="shared" si="7"/>
        <v>0</v>
      </c>
      <c r="M30" s="431">
        <f t="shared" si="7"/>
        <v>0</v>
      </c>
      <c r="N30" s="431">
        <f t="shared" si="7"/>
        <v>0</v>
      </c>
      <c r="O30" s="431">
        <f t="shared" si="7"/>
        <v>0</v>
      </c>
      <c r="P30" s="431">
        <f t="shared" si="7"/>
        <v>0</v>
      </c>
      <c r="Q30" s="431">
        <f t="shared" si="7"/>
        <v>0</v>
      </c>
      <c r="R30" s="431">
        <f t="shared" si="7"/>
        <v>0</v>
      </c>
      <c r="S30" s="431">
        <f t="shared" si="7"/>
        <v>0</v>
      </c>
      <c r="T30" s="431">
        <f t="shared" si="7"/>
        <v>0</v>
      </c>
    </row>
    <row r="31" spans="1:20" s="423" customFormat="1" ht="21" customHeight="1">
      <c r="A31" s="437"/>
      <c r="B31" s="437"/>
      <c r="C31" s="437"/>
      <c r="D31" s="438">
        <v>4</v>
      </c>
      <c r="E31" s="438">
        <v>1</v>
      </c>
      <c r="F31" s="438">
        <v>3</v>
      </c>
      <c r="G31" s="439" t="s">
        <v>960</v>
      </c>
      <c r="H31" s="438" t="s">
        <v>984</v>
      </c>
      <c r="I31" s="440">
        <f t="shared" si="4"/>
        <v>0</v>
      </c>
      <c r="J31" s="441"/>
      <c r="K31" s="442"/>
      <c r="L31" s="442"/>
      <c r="M31" s="442"/>
      <c r="N31" s="442"/>
      <c r="O31" s="442"/>
      <c r="P31" s="442"/>
      <c r="Q31" s="442"/>
      <c r="R31" s="442"/>
      <c r="S31" s="442"/>
      <c r="T31" s="442"/>
    </row>
    <row r="32" spans="1:20" s="423" customFormat="1" ht="21" customHeight="1">
      <c r="A32" s="437"/>
      <c r="B32" s="437"/>
      <c r="C32" s="437"/>
      <c r="D32" s="438">
        <v>4</v>
      </c>
      <c r="E32" s="438">
        <v>1</v>
      </c>
      <c r="F32" s="438">
        <v>3</v>
      </c>
      <c r="G32" s="443" t="s">
        <v>962</v>
      </c>
      <c r="H32" s="438" t="s">
        <v>985</v>
      </c>
      <c r="I32" s="440">
        <f t="shared" si="4"/>
        <v>0</v>
      </c>
      <c r="J32" s="441"/>
      <c r="K32" s="442"/>
      <c r="L32" s="442"/>
      <c r="M32" s="442"/>
      <c r="N32" s="442"/>
      <c r="O32" s="442"/>
      <c r="P32" s="442"/>
      <c r="Q32" s="442"/>
      <c r="R32" s="442"/>
      <c r="S32" s="442"/>
      <c r="T32" s="442"/>
    </row>
    <row r="33" spans="1:20" s="436" customFormat="1" ht="21" customHeight="1">
      <c r="A33" s="433"/>
      <c r="B33" s="433"/>
      <c r="C33" s="433"/>
      <c r="D33" s="429">
        <v>4</v>
      </c>
      <c r="E33" s="434">
        <v>1</v>
      </c>
      <c r="F33" s="434">
        <v>4</v>
      </c>
      <c r="G33" s="435"/>
      <c r="H33" s="434" t="s">
        <v>986</v>
      </c>
      <c r="I33" s="431">
        <f>SUM(I34:I35)</f>
        <v>0</v>
      </c>
      <c r="J33" s="432">
        <f t="shared" ref="J33:T33" si="8">SUM(J34:J35)</f>
        <v>0</v>
      </c>
      <c r="K33" s="431">
        <f t="shared" si="8"/>
        <v>0</v>
      </c>
      <c r="L33" s="431">
        <f t="shared" si="8"/>
        <v>0</v>
      </c>
      <c r="M33" s="431">
        <f t="shared" si="8"/>
        <v>0</v>
      </c>
      <c r="N33" s="431">
        <f t="shared" si="8"/>
        <v>0</v>
      </c>
      <c r="O33" s="431">
        <f t="shared" si="8"/>
        <v>0</v>
      </c>
      <c r="P33" s="431">
        <f t="shared" si="8"/>
        <v>0</v>
      </c>
      <c r="Q33" s="431">
        <f t="shared" si="8"/>
        <v>0</v>
      </c>
      <c r="R33" s="431">
        <f t="shared" si="8"/>
        <v>0</v>
      </c>
      <c r="S33" s="431">
        <f t="shared" si="8"/>
        <v>0</v>
      </c>
      <c r="T33" s="431">
        <f t="shared" si="8"/>
        <v>0</v>
      </c>
    </row>
    <row r="34" spans="1:20" s="423" customFormat="1" ht="21" customHeight="1">
      <c r="A34" s="437"/>
      <c r="B34" s="437"/>
      <c r="C34" s="437"/>
      <c r="D34" s="438">
        <v>4</v>
      </c>
      <c r="E34" s="438">
        <v>1</v>
      </c>
      <c r="F34" s="438">
        <v>4</v>
      </c>
      <c r="G34" s="439" t="s">
        <v>960</v>
      </c>
      <c r="H34" s="438" t="s">
        <v>987</v>
      </c>
      <c r="I34" s="440">
        <f t="shared" si="4"/>
        <v>0</v>
      </c>
      <c r="J34" s="441"/>
      <c r="K34" s="442"/>
      <c r="L34" s="442"/>
      <c r="M34" s="442"/>
      <c r="N34" s="442"/>
      <c r="O34" s="442"/>
      <c r="P34" s="442"/>
      <c r="Q34" s="442"/>
      <c r="R34" s="442"/>
      <c r="S34" s="442"/>
      <c r="T34" s="442"/>
    </row>
    <row r="35" spans="1:20" s="423" customFormat="1" ht="21" customHeight="1">
      <c r="A35" s="437"/>
      <c r="B35" s="437"/>
      <c r="C35" s="437"/>
      <c r="D35" s="438">
        <v>4</v>
      </c>
      <c r="E35" s="438">
        <v>1</v>
      </c>
      <c r="F35" s="438">
        <v>4</v>
      </c>
      <c r="G35" s="443" t="s">
        <v>962</v>
      </c>
      <c r="H35" s="438" t="s">
        <v>963</v>
      </c>
      <c r="I35" s="440">
        <f t="shared" si="4"/>
        <v>0</v>
      </c>
      <c r="J35" s="441"/>
      <c r="K35" s="442"/>
      <c r="L35" s="442"/>
      <c r="M35" s="442"/>
      <c r="N35" s="442"/>
      <c r="O35" s="442"/>
      <c r="P35" s="442"/>
      <c r="Q35" s="442"/>
      <c r="R35" s="442"/>
      <c r="S35" s="442"/>
      <c r="T35" s="442"/>
    </row>
    <row r="36" spans="1:20" s="420" customFormat="1" ht="21" customHeight="1">
      <c r="A36" s="428"/>
      <c r="B36" s="428"/>
      <c r="C36" s="428"/>
      <c r="D36" s="429">
        <v>4</v>
      </c>
      <c r="E36" s="429">
        <v>2</v>
      </c>
      <c r="F36" s="429" t="s">
        <v>956</v>
      </c>
      <c r="G36" s="430"/>
      <c r="H36" s="429" t="s">
        <v>988</v>
      </c>
      <c r="I36" s="431">
        <f>I37+I39+I41+I43+I46</f>
        <v>2485576700</v>
      </c>
      <c r="J36" s="432">
        <f t="shared" ref="J36:S36" si="9">J37+J39+J41+J43+J46</f>
        <v>0</v>
      </c>
      <c r="K36" s="431">
        <f t="shared" si="9"/>
        <v>0</v>
      </c>
      <c r="L36" s="431">
        <f t="shared" si="9"/>
        <v>0</v>
      </c>
      <c r="M36" s="431">
        <f t="shared" si="9"/>
        <v>0</v>
      </c>
      <c r="N36" s="431">
        <f t="shared" si="9"/>
        <v>0</v>
      </c>
      <c r="O36" s="431">
        <f t="shared" si="9"/>
        <v>0</v>
      </c>
      <c r="P36" s="431">
        <f t="shared" si="9"/>
        <v>1198676000</v>
      </c>
      <c r="Q36" s="431">
        <f t="shared" si="9"/>
        <v>867093200</v>
      </c>
      <c r="R36" s="431">
        <f t="shared" si="9"/>
        <v>69807500</v>
      </c>
      <c r="S36" s="431">
        <f t="shared" si="9"/>
        <v>350000000</v>
      </c>
      <c r="T36" s="431">
        <f>T37+T39+T41+T43+T46</f>
        <v>0</v>
      </c>
    </row>
    <row r="37" spans="1:20" s="436" customFormat="1" ht="19.5" customHeight="1">
      <c r="A37" s="433"/>
      <c r="B37" s="433"/>
      <c r="C37" s="433"/>
      <c r="D37" s="429">
        <v>4</v>
      </c>
      <c r="E37" s="434">
        <v>2</v>
      </c>
      <c r="F37" s="434">
        <v>1</v>
      </c>
      <c r="G37" s="435"/>
      <c r="H37" s="434" t="s">
        <v>989</v>
      </c>
      <c r="I37" s="431">
        <f>SUM(I38)</f>
        <v>1198676000</v>
      </c>
      <c r="J37" s="432">
        <f t="shared" ref="J37:T37" si="10">SUM(J38)</f>
        <v>0</v>
      </c>
      <c r="K37" s="431">
        <f t="shared" si="10"/>
        <v>0</v>
      </c>
      <c r="L37" s="431">
        <f t="shared" si="10"/>
        <v>0</v>
      </c>
      <c r="M37" s="431">
        <f t="shared" si="10"/>
        <v>0</v>
      </c>
      <c r="N37" s="431">
        <f t="shared" si="10"/>
        <v>0</v>
      </c>
      <c r="O37" s="431">
        <f t="shared" si="10"/>
        <v>0</v>
      </c>
      <c r="P37" s="431">
        <f t="shared" si="10"/>
        <v>1198676000</v>
      </c>
      <c r="Q37" s="431">
        <f t="shared" si="10"/>
        <v>0</v>
      </c>
      <c r="R37" s="431">
        <f t="shared" si="10"/>
        <v>0</v>
      </c>
      <c r="S37" s="431">
        <f t="shared" si="10"/>
        <v>0</v>
      </c>
      <c r="T37" s="431">
        <f t="shared" si="10"/>
        <v>0</v>
      </c>
    </row>
    <row r="38" spans="1:20" s="423" customFormat="1" ht="18" customHeight="1">
      <c r="A38" s="437"/>
      <c r="B38" s="437"/>
      <c r="C38" s="437"/>
      <c r="D38" s="438">
        <v>4</v>
      </c>
      <c r="E38" s="438">
        <v>2</v>
      </c>
      <c r="F38" s="438">
        <v>1</v>
      </c>
      <c r="G38" s="439" t="s">
        <v>960</v>
      </c>
      <c r="H38" s="438" t="s">
        <v>989</v>
      </c>
      <c r="I38" s="440">
        <f t="shared" si="4"/>
        <v>1198676000</v>
      </c>
      <c r="J38" s="441"/>
      <c r="K38" s="442"/>
      <c r="L38" s="442"/>
      <c r="M38" s="442"/>
      <c r="N38" s="442"/>
      <c r="O38" s="442"/>
      <c r="P38" s="442">
        <v>1198676000</v>
      </c>
      <c r="Q38" s="442"/>
      <c r="R38" s="442"/>
      <c r="S38" s="442"/>
      <c r="T38" s="442"/>
    </row>
    <row r="39" spans="1:20" s="436" customFormat="1" ht="18" customHeight="1">
      <c r="A39" s="433"/>
      <c r="B39" s="433"/>
      <c r="C39" s="433"/>
      <c r="D39" s="429">
        <v>4</v>
      </c>
      <c r="E39" s="434">
        <v>2</v>
      </c>
      <c r="F39" s="434">
        <v>2</v>
      </c>
      <c r="G39" s="435"/>
      <c r="H39" s="434" t="s">
        <v>990</v>
      </c>
      <c r="I39" s="431">
        <f>SUM(I40)</f>
        <v>69807500</v>
      </c>
      <c r="J39" s="432">
        <f t="shared" ref="J39:T39" si="11">SUM(J40)</f>
        <v>0</v>
      </c>
      <c r="K39" s="431">
        <f t="shared" si="11"/>
        <v>0</v>
      </c>
      <c r="L39" s="431">
        <f t="shared" si="11"/>
        <v>0</v>
      </c>
      <c r="M39" s="431">
        <f t="shared" si="11"/>
        <v>0</v>
      </c>
      <c r="N39" s="431">
        <f t="shared" si="11"/>
        <v>0</v>
      </c>
      <c r="O39" s="431">
        <f t="shared" si="11"/>
        <v>0</v>
      </c>
      <c r="P39" s="431">
        <f t="shared" si="11"/>
        <v>0</v>
      </c>
      <c r="Q39" s="431">
        <f t="shared" si="11"/>
        <v>0</v>
      </c>
      <c r="R39" s="431">
        <f t="shared" si="11"/>
        <v>69807500</v>
      </c>
      <c r="S39" s="431">
        <f t="shared" si="11"/>
        <v>0</v>
      </c>
      <c r="T39" s="431">
        <f t="shared" si="11"/>
        <v>0</v>
      </c>
    </row>
    <row r="40" spans="1:20" s="423" customFormat="1" ht="18" customHeight="1">
      <c r="A40" s="437"/>
      <c r="B40" s="437"/>
      <c r="C40" s="437"/>
      <c r="D40" s="438">
        <v>4</v>
      </c>
      <c r="E40" s="438">
        <v>2</v>
      </c>
      <c r="F40" s="438">
        <v>2</v>
      </c>
      <c r="G40" s="439" t="s">
        <v>960</v>
      </c>
      <c r="H40" s="438" t="s">
        <v>990</v>
      </c>
      <c r="I40" s="440">
        <f t="shared" si="4"/>
        <v>69807500</v>
      </c>
      <c r="J40" s="441"/>
      <c r="K40" s="442"/>
      <c r="L40" s="442"/>
      <c r="M40" s="442"/>
      <c r="N40" s="442"/>
      <c r="O40" s="442"/>
      <c r="P40" s="442"/>
      <c r="Q40" s="442"/>
      <c r="R40" s="442">
        <f>69807500</f>
        <v>69807500</v>
      </c>
      <c r="S40" s="442"/>
      <c r="T40" s="442"/>
    </row>
    <row r="41" spans="1:20" s="436" customFormat="1" ht="18" customHeight="1">
      <c r="A41" s="433"/>
      <c r="B41" s="433"/>
      <c r="C41" s="433"/>
      <c r="D41" s="429">
        <v>4</v>
      </c>
      <c r="E41" s="434">
        <v>2</v>
      </c>
      <c r="F41" s="434">
        <v>3</v>
      </c>
      <c r="G41" s="435"/>
      <c r="H41" s="434" t="s">
        <v>991</v>
      </c>
      <c r="I41" s="431">
        <f>SUM(I42)</f>
        <v>867093200</v>
      </c>
      <c r="J41" s="432">
        <f t="shared" ref="J41:T41" si="12">SUM(J42)</f>
        <v>0</v>
      </c>
      <c r="K41" s="431">
        <f t="shared" si="12"/>
        <v>0</v>
      </c>
      <c r="L41" s="431">
        <f t="shared" si="12"/>
        <v>0</v>
      </c>
      <c r="M41" s="431">
        <f t="shared" si="12"/>
        <v>0</v>
      </c>
      <c r="N41" s="431">
        <f t="shared" si="12"/>
        <v>0</v>
      </c>
      <c r="O41" s="431">
        <f t="shared" si="12"/>
        <v>0</v>
      </c>
      <c r="P41" s="431">
        <f t="shared" si="12"/>
        <v>0</v>
      </c>
      <c r="Q41" s="431">
        <f t="shared" si="12"/>
        <v>867093200</v>
      </c>
      <c r="R41" s="431"/>
      <c r="S41" s="431">
        <f t="shared" si="12"/>
        <v>0</v>
      </c>
      <c r="T41" s="431">
        <f t="shared" si="12"/>
        <v>0</v>
      </c>
    </row>
    <row r="42" spans="1:20" s="423" customFormat="1" ht="21" customHeight="1">
      <c r="A42" s="437"/>
      <c r="B42" s="437"/>
      <c r="C42" s="437"/>
      <c r="D42" s="438">
        <v>4</v>
      </c>
      <c r="E42" s="438">
        <v>2</v>
      </c>
      <c r="F42" s="438">
        <v>3</v>
      </c>
      <c r="G42" s="439" t="s">
        <v>960</v>
      </c>
      <c r="H42" s="438" t="s">
        <v>991</v>
      </c>
      <c r="I42" s="440">
        <f t="shared" si="4"/>
        <v>867093200</v>
      </c>
      <c r="J42" s="441"/>
      <c r="K42" s="442"/>
      <c r="L42" s="442"/>
      <c r="M42" s="442"/>
      <c r="N42" s="442"/>
      <c r="O42" s="442"/>
      <c r="P42" s="442"/>
      <c r="Q42" s="442">
        <v>867093200</v>
      </c>
      <c r="R42" s="442"/>
      <c r="S42" s="442"/>
      <c r="T42" s="442"/>
    </row>
    <row r="43" spans="1:20" s="436" customFormat="1" ht="18" customHeight="1">
      <c r="A43" s="433"/>
      <c r="B43" s="433"/>
      <c r="C43" s="433"/>
      <c r="D43" s="429">
        <v>4</v>
      </c>
      <c r="E43" s="434">
        <v>2</v>
      </c>
      <c r="F43" s="434">
        <v>4</v>
      </c>
      <c r="G43" s="435"/>
      <c r="H43" s="434" t="s">
        <v>992</v>
      </c>
      <c r="I43" s="431">
        <f>SUM(I44:I45)</f>
        <v>0</v>
      </c>
      <c r="J43" s="432">
        <f t="shared" ref="J43:T43" si="13">SUM(J44:J45)</f>
        <v>0</v>
      </c>
      <c r="K43" s="431">
        <f t="shared" si="13"/>
        <v>0</v>
      </c>
      <c r="L43" s="431">
        <f t="shared" si="13"/>
        <v>0</v>
      </c>
      <c r="M43" s="431">
        <f t="shared" si="13"/>
        <v>0</v>
      </c>
      <c r="N43" s="431">
        <f t="shared" si="13"/>
        <v>0</v>
      </c>
      <c r="O43" s="431">
        <f t="shared" si="13"/>
        <v>0</v>
      </c>
      <c r="P43" s="431">
        <f t="shared" si="13"/>
        <v>0</v>
      </c>
      <c r="Q43" s="431">
        <f t="shared" si="13"/>
        <v>0</v>
      </c>
      <c r="R43" s="431">
        <f t="shared" si="13"/>
        <v>0</v>
      </c>
      <c r="S43" s="431">
        <f t="shared" si="13"/>
        <v>0</v>
      </c>
      <c r="T43" s="431">
        <f t="shared" si="13"/>
        <v>0</v>
      </c>
    </row>
    <row r="44" spans="1:20" s="423" customFormat="1" ht="21" customHeight="1">
      <c r="A44" s="437"/>
      <c r="B44" s="437"/>
      <c r="C44" s="437"/>
      <c r="D44" s="438">
        <v>4</v>
      </c>
      <c r="E44" s="438">
        <v>2</v>
      </c>
      <c r="F44" s="438">
        <v>4</v>
      </c>
      <c r="G44" s="439" t="s">
        <v>960</v>
      </c>
      <c r="H44" s="438" t="s">
        <v>993</v>
      </c>
      <c r="I44" s="440">
        <f t="shared" si="4"/>
        <v>0</v>
      </c>
      <c r="J44" s="441"/>
      <c r="K44" s="442"/>
      <c r="L44" s="442"/>
      <c r="M44" s="442"/>
      <c r="N44" s="442"/>
      <c r="O44" s="442"/>
      <c r="P44" s="442"/>
      <c r="Q44" s="442"/>
      <c r="R44" s="442"/>
      <c r="S44" s="442"/>
      <c r="T44" s="442"/>
    </row>
    <row r="45" spans="1:20" s="423" customFormat="1" ht="21" customHeight="1">
      <c r="A45" s="437"/>
      <c r="B45" s="437"/>
      <c r="C45" s="437"/>
      <c r="D45" s="438">
        <v>4</v>
      </c>
      <c r="E45" s="438">
        <v>2</v>
      </c>
      <c r="F45" s="438">
        <v>4</v>
      </c>
      <c r="G45" s="443" t="s">
        <v>962</v>
      </c>
      <c r="H45" s="438" t="s">
        <v>994</v>
      </c>
      <c r="I45" s="440">
        <f t="shared" si="4"/>
        <v>0</v>
      </c>
      <c r="J45" s="441"/>
      <c r="K45" s="442"/>
      <c r="L45" s="442"/>
      <c r="M45" s="442"/>
      <c r="N45" s="442"/>
      <c r="O45" s="442"/>
      <c r="P45" s="442"/>
      <c r="Q45" s="442"/>
      <c r="R45" s="442"/>
      <c r="S45" s="442"/>
      <c r="T45" s="442"/>
    </row>
    <row r="46" spans="1:20" s="436" customFormat="1" ht="21" customHeight="1">
      <c r="A46" s="433"/>
      <c r="B46" s="433"/>
      <c r="C46" s="433"/>
      <c r="D46" s="429">
        <v>4</v>
      </c>
      <c r="E46" s="434">
        <v>2</v>
      </c>
      <c r="F46" s="434">
        <v>5</v>
      </c>
      <c r="G46" s="435"/>
      <c r="H46" s="434" t="s">
        <v>995</v>
      </c>
      <c r="I46" s="431">
        <f>SUM(I47:I48)</f>
        <v>350000000</v>
      </c>
      <c r="J46" s="432">
        <f>SUM(J47:J48)</f>
        <v>0</v>
      </c>
      <c r="K46" s="431">
        <f t="shared" ref="K46:T46" si="14">SUM(K47:K48)</f>
        <v>0</v>
      </c>
      <c r="L46" s="431">
        <f t="shared" si="14"/>
        <v>0</v>
      </c>
      <c r="M46" s="431">
        <f t="shared" si="14"/>
        <v>0</v>
      </c>
      <c r="N46" s="431">
        <f t="shared" si="14"/>
        <v>0</v>
      </c>
      <c r="O46" s="431">
        <f t="shared" si="14"/>
        <v>0</v>
      </c>
      <c r="P46" s="431">
        <f t="shared" si="14"/>
        <v>0</v>
      </c>
      <c r="Q46" s="431">
        <f t="shared" si="14"/>
        <v>0</v>
      </c>
      <c r="R46" s="431">
        <f t="shared" si="14"/>
        <v>0</v>
      </c>
      <c r="S46" s="431">
        <f t="shared" si="14"/>
        <v>350000000</v>
      </c>
      <c r="T46" s="431">
        <f t="shared" si="14"/>
        <v>0</v>
      </c>
    </row>
    <row r="47" spans="1:20" s="423" customFormat="1" ht="21" customHeight="1">
      <c r="A47" s="437"/>
      <c r="B47" s="437"/>
      <c r="C47" s="437"/>
      <c r="D47" s="438">
        <v>4</v>
      </c>
      <c r="E47" s="438">
        <v>2</v>
      </c>
      <c r="F47" s="438">
        <v>5</v>
      </c>
      <c r="G47" s="439" t="s">
        <v>960</v>
      </c>
      <c r="H47" s="438" t="s">
        <v>995</v>
      </c>
      <c r="I47" s="440">
        <f t="shared" si="4"/>
        <v>350000000</v>
      </c>
      <c r="J47" s="441"/>
      <c r="K47" s="442"/>
      <c r="L47" s="442"/>
      <c r="M47" s="442"/>
      <c r="N47" s="442"/>
      <c r="O47" s="442"/>
      <c r="P47" s="442"/>
      <c r="Q47" s="442"/>
      <c r="R47" s="442"/>
      <c r="S47" s="442">
        <f>350000000</f>
        <v>350000000</v>
      </c>
      <c r="T47" s="442"/>
    </row>
    <row r="48" spans="1:20" s="423" customFormat="1" ht="21" customHeight="1">
      <c r="A48" s="437"/>
      <c r="B48" s="437"/>
      <c r="C48" s="437"/>
      <c r="D48" s="438">
        <v>4</v>
      </c>
      <c r="E48" s="438">
        <v>2</v>
      </c>
      <c r="F48" s="438">
        <v>5</v>
      </c>
      <c r="G48" s="443" t="s">
        <v>962</v>
      </c>
      <c r="H48" s="438" t="s">
        <v>996</v>
      </c>
      <c r="I48" s="440">
        <f t="shared" si="4"/>
        <v>0</v>
      </c>
      <c r="J48" s="441"/>
      <c r="K48" s="442"/>
      <c r="L48" s="442"/>
      <c r="M48" s="442"/>
      <c r="N48" s="442"/>
      <c r="O48" s="442"/>
      <c r="P48" s="442"/>
      <c r="Q48" s="442"/>
      <c r="R48" s="442"/>
      <c r="S48" s="442"/>
      <c r="T48" s="442"/>
    </row>
    <row r="49" spans="1:20" s="436" customFormat="1" ht="18" customHeight="1">
      <c r="A49" s="433"/>
      <c r="B49" s="433"/>
      <c r="C49" s="433"/>
      <c r="D49" s="429">
        <v>4</v>
      </c>
      <c r="E49" s="429">
        <v>3</v>
      </c>
      <c r="F49" s="429" t="s">
        <v>956</v>
      </c>
      <c r="G49" s="430"/>
      <c r="H49" s="429" t="s">
        <v>997</v>
      </c>
      <c r="I49" s="431">
        <f>I50+I52+I54+I56+I58+I60+I62</f>
        <v>1500000</v>
      </c>
      <c r="J49" s="432">
        <f t="shared" ref="J49:T49" si="15">J50+J52+J54+J56+J58+J60+J62</f>
        <v>0</v>
      </c>
      <c r="K49" s="431">
        <f t="shared" si="15"/>
        <v>0</v>
      </c>
      <c r="L49" s="431">
        <f t="shared" si="15"/>
        <v>0</v>
      </c>
      <c r="M49" s="431">
        <f t="shared" si="15"/>
        <v>0</v>
      </c>
      <c r="N49" s="431">
        <f t="shared" si="15"/>
        <v>0</v>
      </c>
      <c r="O49" s="431">
        <f t="shared" si="15"/>
        <v>1500000</v>
      </c>
      <c r="P49" s="431">
        <f t="shared" si="15"/>
        <v>0</v>
      </c>
      <c r="Q49" s="431">
        <f t="shared" si="15"/>
        <v>0</v>
      </c>
      <c r="R49" s="431">
        <f t="shared" si="15"/>
        <v>0</v>
      </c>
      <c r="S49" s="431">
        <f t="shared" si="15"/>
        <v>0</v>
      </c>
      <c r="T49" s="431">
        <f t="shared" si="15"/>
        <v>0</v>
      </c>
    </row>
    <row r="50" spans="1:20" s="436" customFormat="1" ht="18" customHeight="1">
      <c r="A50" s="433"/>
      <c r="B50" s="433"/>
      <c r="C50" s="433"/>
      <c r="D50" s="429">
        <v>4</v>
      </c>
      <c r="E50" s="434">
        <v>3</v>
      </c>
      <c r="F50" s="434">
        <v>1</v>
      </c>
      <c r="G50" s="435"/>
      <c r="H50" s="434" t="s">
        <v>998</v>
      </c>
      <c r="I50" s="431">
        <f>SUM(I51)</f>
        <v>0</v>
      </c>
      <c r="J50" s="432">
        <f t="shared" ref="J50:T50" si="16">SUM(J51)</f>
        <v>0</v>
      </c>
      <c r="K50" s="431">
        <f t="shared" si="16"/>
        <v>0</v>
      </c>
      <c r="L50" s="431">
        <f t="shared" si="16"/>
        <v>0</v>
      </c>
      <c r="M50" s="431">
        <f t="shared" si="16"/>
        <v>0</v>
      </c>
      <c r="N50" s="431">
        <f t="shared" si="16"/>
        <v>0</v>
      </c>
      <c r="O50" s="431">
        <f t="shared" si="16"/>
        <v>0</v>
      </c>
      <c r="P50" s="431">
        <f t="shared" si="16"/>
        <v>0</v>
      </c>
      <c r="Q50" s="431">
        <f t="shared" si="16"/>
        <v>0</v>
      </c>
      <c r="R50" s="431">
        <f t="shared" si="16"/>
        <v>0</v>
      </c>
      <c r="S50" s="431">
        <f t="shared" si="16"/>
        <v>0</v>
      </c>
      <c r="T50" s="431">
        <f t="shared" si="16"/>
        <v>0</v>
      </c>
    </row>
    <row r="51" spans="1:20" s="423" customFormat="1" ht="18" customHeight="1">
      <c r="A51" s="437"/>
      <c r="B51" s="437"/>
      <c r="C51" s="437"/>
      <c r="D51" s="438">
        <v>4</v>
      </c>
      <c r="E51" s="438">
        <v>3</v>
      </c>
      <c r="F51" s="438">
        <v>1</v>
      </c>
      <c r="G51" s="439" t="s">
        <v>960</v>
      </c>
      <c r="H51" s="438" t="s">
        <v>998</v>
      </c>
      <c r="I51" s="440">
        <f t="shared" si="4"/>
        <v>0</v>
      </c>
      <c r="J51" s="441"/>
      <c r="K51" s="442"/>
      <c r="L51" s="442"/>
      <c r="M51" s="442"/>
      <c r="N51" s="442"/>
      <c r="O51" s="442"/>
      <c r="P51" s="442"/>
      <c r="Q51" s="442"/>
      <c r="R51" s="442"/>
      <c r="S51" s="442"/>
      <c r="T51" s="442"/>
    </row>
    <row r="52" spans="1:20" s="436" customFormat="1" ht="18" customHeight="1">
      <c r="A52" s="433"/>
      <c r="B52" s="433"/>
      <c r="C52" s="433"/>
      <c r="D52" s="429">
        <v>4</v>
      </c>
      <c r="E52" s="434">
        <v>3</v>
      </c>
      <c r="F52" s="434">
        <v>2</v>
      </c>
      <c r="G52" s="435"/>
      <c r="H52" s="434" t="s">
        <v>999</v>
      </c>
      <c r="I52" s="431">
        <f>SUM(I53)</f>
        <v>0</v>
      </c>
      <c r="J52" s="432">
        <f t="shared" ref="J52:T52" si="17">SUM(J53)</f>
        <v>0</v>
      </c>
      <c r="K52" s="431">
        <f t="shared" si="17"/>
        <v>0</v>
      </c>
      <c r="L52" s="431">
        <f t="shared" si="17"/>
        <v>0</v>
      </c>
      <c r="M52" s="431">
        <f t="shared" si="17"/>
        <v>0</v>
      </c>
      <c r="N52" s="431">
        <f t="shared" si="17"/>
        <v>0</v>
      </c>
      <c r="O52" s="431">
        <f t="shared" si="17"/>
        <v>0</v>
      </c>
      <c r="P52" s="431">
        <f t="shared" si="17"/>
        <v>0</v>
      </c>
      <c r="Q52" s="431">
        <f t="shared" si="17"/>
        <v>0</v>
      </c>
      <c r="R52" s="431">
        <f t="shared" si="17"/>
        <v>0</v>
      </c>
      <c r="S52" s="431">
        <f t="shared" si="17"/>
        <v>0</v>
      </c>
      <c r="T52" s="431">
        <f t="shared" si="17"/>
        <v>0</v>
      </c>
    </row>
    <row r="53" spans="1:20" s="423" customFormat="1" ht="18" customHeight="1">
      <c r="A53" s="437"/>
      <c r="B53" s="437"/>
      <c r="C53" s="437"/>
      <c r="D53" s="438">
        <v>4</v>
      </c>
      <c r="E53" s="438">
        <v>3</v>
      </c>
      <c r="F53" s="438">
        <v>2</v>
      </c>
      <c r="G53" s="439" t="s">
        <v>960</v>
      </c>
      <c r="H53" s="438" t="s">
        <v>999</v>
      </c>
      <c r="I53" s="440">
        <f t="shared" si="4"/>
        <v>0</v>
      </c>
      <c r="J53" s="441"/>
      <c r="K53" s="442"/>
      <c r="L53" s="442"/>
      <c r="M53" s="442"/>
      <c r="N53" s="442"/>
      <c r="O53" s="442"/>
      <c r="P53" s="442"/>
      <c r="Q53" s="442"/>
      <c r="R53" s="442"/>
      <c r="S53" s="442"/>
      <c r="T53" s="442"/>
    </row>
    <row r="54" spans="1:20" s="436" customFormat="1" ht="18" customHeight="1">
      <c r="A54" s="433"/>
      <c r="B54" s="433"/>
      <c r="C54" s="433"/>
      <c r="D54" s="429">
        <v>4</v>
      </c>
      <c r="E54" s="434">
        <v>3</v>
      </c>
      <c r="F54" s="434">
        <v>3</v>
      </c>
      <c r="G54" s="435"/>
      <c r="H54" s="434" t="s">
        <v>1000</v>
      </c>
      <c r="I54" s="431">
        <f>SUM(I55)</f>
        <v>0</v>
      </c>
      <c r="J54" s="432">
        <f t="shared" ref="J54:T54" si="18">SUM(J55)</f>
        <v>0</v>
      </c>
      <c r="K54" s="431">
        <f>SUM(K55)</f>
        <v>0</v>
      </c>
      <c r="L54" s="431">
        <f t="shared" si="18"/>
        <v>0</v>
      </c>
      <c r="M54" s="431">
        <f t="shared" si="18"/>
        <v>0</v>
      </c>
      <c r="N54" s="431">
        <f t="shared" si="18"/>
        <v>0</v>
      </c>
      <c r="O54" s="431">
        <f t="shared" si="18"/>
        <v>0</v>
      </c>
      <c r="P54" s="431">
        <f t="shared" si="18"/>
        <v>0</v>
      </c>
      <c r="Q54" s="431">
        <f t="shared" si="18"/>
        <v>0</v>
      </c>
      <c r="R54" s="431">
        <f t="shared" si="18"/>
        <v>0</v>
      </c>
      <c r="S54" s="431">
        <f t="shared" si="18"/>
        <v>0</v>
      </c>
      <c r="T54" s="431">
        <f t="shared" si="18"/>
        <v>0</v>
      </c>
    </row>
    <row r="55" spans="1:20" s="423" customFormat="1" ht="22.5" customHeight="1">
      <c r="A55" s="437"/>
      <c r="B55" s="437"/>
      <c r="C55" s="437"/>
      <c r="D55" s="438">
        <v>4</v>
      </c>
      <c r="E55" s="438">
        <v>3</v>
      </c>
      <c r="F55" s="438">
        <v>3</v>
      </c>
      <c r="G55" s="439" t="s">
        <v>960</v>
      </c>
      <c r="H55" s="438" t="s">
        <v>1000</v>
      </c>
      <c r="I55" s="440">
        <f t="shared" si="4"/>
        <v>0</v>
      </c>
      <c r="J55" s="441"/>
      <c r="K55" s="442"/>
      <c r="L55" s="442"/>
      <c r="M55" s="442"/>
      <c r="N55" s="442"/>
      <c r="O55" s="442"/>
      <c r="P55" s="442"/>
      <c r="Q55" s="442"/>
      <c r="R55" s="442"/>
      <c r="S55" s="442"/>
      <c r="T55" s="442"/>
    </row>
    <row r="56" spans="1:20" s="436" customFormat="1" ht="18" customHeight="1">
      <c r="A56" s="433"/>
      <c r="B56" s="433"/>
      <c r="C56" s="433"/>
      <c r="D56" s="429">
        <v>4</v>
      </c>
      <c r="E56" s="434">
        <v>3</v>
      </c>
      <c r="F56" s="434">
        <v>4</v>
      </c>
      <c r="G56" s="435"/>
      <c r="H56" s="434" t="s">
        <v>1001</v>
      </c>
      <c r="I56" s="431">
        <f>SUM(I57)</f>
        <v>0</v>
      </c>
      <c r="J56" s="432">
        <f t="shared" ref="J56:T56" si="19">SUM(J57)</f>
        <v>0</v>
      </c>
      <c r="K56" s="431">
        <f t="shared" si="19"/>
        <v>0</v>
      </c>
      <c r="L56" s="431">
        <f t="shared" si="19"/>
        <v>0</v>
      </c>
      <c r="M56" s="431">
        <f t="shared" si="19"/>
        <v>0</v>
      </c>
      <c r="N56" s="431">
        <f t="shared" si="19"/>
        <v>0</v>
      </c>
      <c r="O56" s="431">
        <f t="shared" si="19"/>
        <v>0</v>
      </c>
      <c r="P56" s="431">
        <f t="shared" si="19"/>
        <v>0</v>
      </c>
      <c r="Q56" s="431">
        <f t="shared" si="19"/>
        <v>0</v>
      </c>
      <c r="R56" s="431">
        <f t="shared" si="19"/>
        <v>0</v>
      </c>
      <c r="S56" s="431">
        <f t="shared" si="19"/>
        <v>0</v>
      </c>
      <c r="T56" s="431">
        <f t="shared" si="19"/>
        <v>0</v>
      </c>
    </row>
    <row r="57" spans="1:20" s="423" customFormat="1" ht="18" customHeight="1">
      <c r="A57" s="437"/>
      <c r="B57" s="437"/>
      <c r="C57" s="437"/>
      <c r="D57" s="438">
        <v>4</v>
      </c>
      <c r="E57" s="438">
        <v>3</v>
      </c>
      <c r="F57" s="438">
        <v>4</v>
      </c>
      <c r="G57" s="439" t="s">
        <v>960</v>
      </c>
      <c r="H57" s="438" t="s">
        <v>1001</v>
      </c>
      <c r="I57" s="440">
        <f t="shared" si="4"/>
        <v>0</v>
      </c>
      <c r="J57" s="441"/>
      <c r="K57" s="442"/>
      <c r="L57" s="442"/>
      <c r="M57" s="442"/>
      <c r="N57" s="442"/>
      <c r="O57" s="442"/>
      <c r="P57" s="442"/>
      <c r="Q57" s="442"/>
      <c r="R57" s="442"/>
      <c r="S57" s="442"/>
      <c r="T57" s="442"/>
    </row>
    <row r="58" spans="1:20" s="436" customFormat="1" ht="18" customHeight="1">
      <c r="A58" s="433"/>
      <c r="B58" s="433"/>
      <c r="C58" s="433"/>
      <c r="D58" s="429">
        <v>4</v>
      </c>
      <c r="E58" s="434">
        <v>3</v>
      </c>
      <c r="F58" s="434">
        <v>5</v>
      </c>
      <c r="G58" s="435"/>
      <c r="H58" s="434" t="s">
        <v>1002</v>
      </c>
      <c r="I58" s="431">
        <f>SUM(I59)</f>
        <v>0</v>
      </c>
      <c r="J58" s="432">
        <f t="shared" ref="J58:T58" si="20">SUM(J59)</f>
        <v>0</v>
      </c>
      <c r="K58" s="431">
        <f t="shared" si="20"/>
        <v>0</v>
      </c>
      <c r="L58" s="431">
        <f t="shared" si="20"/>
        <v>0</v>
      </c>
      <c r="M58" s="431">
        <f t="shared" si="20"/>
        <v>0</v>
      </c>
      <c r="N58" s="431">
        <f t="shared" si="20"/>
        <v>0</v>
      </c>
      <c r="O58" s="431">
        <f t="shared" si="20"/>
        <v>0</v>
      </c>
      <c r="P58" s="431">
        <f t="shared" si="20"/>
        <v>0</v>
      </c>
      <c r="Q58" s="431">
        <f t="shared" si="20"/>
        <v>0</v>
      </c>
      <c r="R58" s="431">
        <f t="shared" si="20"/>
        <v>0</v>
      </c>
      <c r="S58" s="431">
        <f t="shared" si="20"/>
        <v>0</v>
      </c>
      <c r="T58" s="431">
        <f t="shared" si="20"/>
        <v>0</v>
      </c>
    </row>
    <row r="59" spans="1:20" s="423" customFormat="1" ht="18" customHeight="1">
      <c r="A59" s="437"/>
      <c r="B59" s="437"/>
      <c r="C59" s="437"/>
      <c r="D59" s="438">
        <v>4</v>
      </c>
      <c r="E59" s="438">
        <v>3</v>
      </c>
      <c r="F59" s="438">
        <v>5</v>
      </c>
      <c r="G59" s="439" t="s">
        <v>960</v>
      </c>
      <c r="H59" s="438" t="s">
        <v>1002</v>
      </c>
      <c r="I59" s="440">
        <f t="shared" si="4"/>
        <v>0</v>
      </c>
      <c r="J59" s="441"/>
      <c r="K59" s="442"/>
      <c r="L59" s="442"/>
      <c r="M59" s="442"/>
      <c r="N59" s="442"/>
      <c r="O59" s="442"/>
      <c r="P59" s="442"/>
      <c r="Q59" s="442"/>
      <c r="R59" s="442"/>
      <c r="S59" s="442"/>
      <c r="T59" s="442"/>
    </row>
    <row r="60" spans="1:20" s="436" customFormat="1" ht="18" customHeight="1">
      <c r="A60" s="433"/>
      <c r="B60" s="433"/>
      <c r="C60" s="433"/>
      <c r="D60" s="429">
        <v>4</v>
      </c>
      <c r="E60" s="434">
        <v>3</v>
      </c>
      <c r="F60" s="434">
        <v>6</v>
      </c>
      <c r="G60" s="435"/>
      <c r="H60" s="434" t="s">
        <v>1003</v>
      </c>
      <c r="I60" s="431">
        <f>SUM(I61)</f>
        <v>1500000</v>
      </c>
      <c r="J60" s="432">
        <f t="shared" ref="J60:T60" si="21">SUM(J61)</f>
        <v>0</v>
      </c>
      <c r="K60" s="431">
        <f t="shared" si="21"/>
        <v>0</v>
      </c>
      <c r="L60" s="431">
        <f t="shared" si="21"/>
        <v>0</v>
      </c>
      <c r="M60" s="431">
        <f t="shared" si="21"/>
        <v>0</v>
      </c>
      <c r="N60" s="431">
        <f t="shared" si="21"/>
        <v>0</v>
      </c>
      <c r="O60" s="431">
        <f t="shared" si="21"/>
        <v>1500000</v>
      </c>
      <c r="P60" s="431">
        <f t="shared" si="21"/>
        <v>0</v>
      </c>
      <c r="Q60" s="431">
        <f t="shared" si="21"/>
        <v>0</v>
      </c>
      <c r="R60" s="431">
        <f t="shared" si="21"/>
        <v>0</v>
      </c>
      <c r="S60" s="431">
        <f t="shared" si="21"/>
        <v>0</v>
      </c>
      <c r="T60" s="431">
        <f t="shared" si="21"/>
        <v>0</v>
      </c>
    </row>
    <row r="61" spans="1:20" s="423" customFormat="1" ht="22.5" customHeight="1">
      <c r="A61" s="437"/>
      <c r="B61" s="437"/>
      <c r="C61" s="437"/>
      <c r="D61" s="438">
        <v>4</v>
      </c>
      <c r="E61" s="438">
        <v>3</v>
      </c>
      <c r="F61" s="438">
        <v>6</v>
      </c>
      <c r="G61" s="439" t="s">
        <v>960</v>
      </c>
      <c r="H61" s="438" t="s">
        <v>1003</v>
      </c>
      <c r="I61" s="440">
        <f t="shared" si="4"/>
        <v>1500000</v>
      </c>
      <c r="J61" s="441"/>
      <c r="K61" s="442"/>
      <c r="L61" s="442"/>
      <c r="M61" s="442"/>
      <c r="N61" s="442"/>
      <c r="O61" s="442">
        <v>1500000</v>
      </c>
      <c r="P61" s="442"/>
      <c r="Q61" s="442"/>
      <c r="R61" s="442"/>
      <c r="S61" s="442"/>
      <c r="T61" s="442"/>
    </row>
    <row r="62" spans="1:20" s="436" customFormat="1" ht="19.5" customHeight="1">
      <c r="A62" s="433"/>
      <c r="B62" s="433"/>
      <c r="C62" s="433"/>
      <c r="D62" s="429">
        <v>4</v>
      </c>
      <c r="E62" s="434">
        <v>3</v>
      </c>
      <c r="F62" s="434">
        <v>9</v>
      </c>
      <c r="G62" s="435"/>
      <c r="H62" s="434" t="s">
        <v>1004</v>
      </c>
      <c r="I62" s="431">
        <f>SUM(I63)</f>
        <v>0</v>
      </c>
      <c r="J62" s="432">
        <f t="shared" ref="J62:T62" si="22">SUM(J63)</f>
        <v>0</v>
      </c>
      <c r="K62" s="431">
        <f t="shared" si="22"/>
        <v>0</v>
      </c>
      <c r="L62" s="431">
        <f t="shared" si="22"/>
        <v>0</v>
      </c>
      <c r="M62" s="431">
        <f t="shared" si="22"/>
        <v>0</v>
      </c>
      <c r="N62" s="431">
        <f t="shared" si="22"/>
        <v>0</v>
      </c>
      <c r="O62" s="431">
        <f t="shared" si="22"/>
        <v>0</v>
      </c>
      <c r="P62" s="431">
        <f t="shared" si="22"/>
        <v>0</v>
      </c>
      <c r="Q62" s="431">
        <f t="shared" si="22"/>
        <v>0</v>
      </c>
      <c r="R62" s="431">
        <f t="shared" si="22"/>
        <v>0</v>
      </c>
      <c r="S62" s="431">
        <f t="shared" si="22"/>
        <v>0</v>
      </c>
      <c r="T62" s="431">
        <f t="shared" si="22"/>
        <v>0</v>
      </c>
    </row>
    <row r="63" spans="1:20" s="423" customFormat="1" ht="22.5" customHeight="1">
      <c r="A63" s="437"/>
      <c r="B63" s="437"/>
      <c r="C63" s="437"/>
      <c r="D63" s="438">
        <v>4</v>
      </c>
      <c r="E63" s="438">
        <v>3</v>
      </c>
      <c r="F63" s="438">
        <v>9</v>
      </c>
      <c r="G63" s="443" t="s">
        <v>962</v>
      </c>
      <c r="H63" s="438" t="s">
        <v>1004</v>
      </c>
      <c r="I63" s="440">
        <f t="shared" si="4"/>
        <v>0</v>
      </c>
      <c r="J63" s="441"/>
      <c r="K63" s="442"/>
      <c r="L63" s="442"/>
      <c r="M63" s="442"/>
      <c r="N63" s="442"/>
      <c r="O63" s="442"/>
      <c r="P63" s="442"/>
      <c r="Q63" s="442"/>
      <c r="R63" s="442"/>
      <c r="S63" s="442"/>
      <c r="T63" s="442"/>
    </row>
    <row r="64" spans="1:20" s="420" customFormat="1" ht="21" customHeight="1">
      <c r="A64" s="444"/>
      <c r="B64" s="444"/>
      <c r="C64" s="444"/>
      <c r="D64" s="445"/>
      <c r="E64" s="445"/>
      <c r="F64" s="445"/>
      <c r="G64" s="446"/>
      <c r="H64" s="445" t="s">
        <v>1005</v>
      </c>
      <c r="I64" s="447">
        <f>I12</f>
        <v>2500926700</v>
      </c>
      <c r="J64" s="448">
        <f t="shared" ref="J64:S64" si="23">J12</f>
        <v>0</v>
      </c>
      <c r="K64" s="447">
        <f t="shared" si="23"/>
        <v>8000000</v>
      </c>
      <c r="L64" s="447">
        <f t="shared" si="23"/>
        <v>3600000</v>
      </c>
      <c r="M64" s="447">
        <f t="shared" si="23"/>
        <v>0</v>
      </c>
      <c r="N64" s="447">
        <f t="shared" si="23"/>
        <v>2250000</v>
      </c>
      <c r="O64" s="447">
        <f t="shared" si="23"/>
        <v>1500000</v>
      </c>
      <c r="P64" s="447">
        <f t="shared" si="23"/>
        <v>1198676000</v>
      </c>
      <c r="Q64" s="447">
        <f t="shared" si="23"/>
        <v>867093200</v>
      </c>
      <c r="R64" s="447">
        <f t="shared" si="23"/>
        <v>69807500</v>
      </c>
      <c r="S64" s="447">
        <f t="shared" si="23"/>
        <v>350000000</v>
      </c>
      <c r="T64" s="447">
        <f>T12</f>
        <v>0</v>
      </c>
    </row>
    <row r="65" spans="1:21" s="423" customFormat="1" ht="18">
      <c r="A65" s="437"/>
      <c r="B65" s="437"/>
      <c r="C65" s="437"/>
      <c r="D65" s="437"/>
      <c r="E65" s="437"/>
      <c r="F65" s="437"/>
      <c r="G65" s="443"/>
      <c r="H65" s="438"/>
      <c r="I65" s="440"/>
      <c r="J65" s="441"/>
      <c r="K65" s="442"/>
      <c r="L65" s="442"/>
      <c r="M65" s="442"/>
      <c r="N65" s="442"/>
      <c r="O65" s="442"/>
      <c r="P65" s="442"/>
      <c r="Q65" s="442"/>
      <c r="R65" s="442"/>
      <c r="S65" s="442"/>
      <c r="T65" s="442"/>
    </row>
    <row r="66" spans="1:21" s="420" customFormat="1" ht="18.75" customHeight="1">
      <c r="A66" s="428"/>
      <c r="B66" s="428"/>
      <c r="C66" s="428"/>
      <c r="D66" s="428">
        <v>5</v>
      </c>
      <c r="E66" s="428"/>
      <c r="F66" s="428"/>
      <c r="G66" s="430"/>
      <c r="H66" s="429" t="s">
        <v>1027</v>
      </c>
      <c r="I66" s="431">
        <f t="shared" ref="I66:U66" si="24">I67+I109+I142+I165+I189</f>
        <v>2637612480</v>
      </c>
      <c r="J66" s="431" t="e">
        <f t="shared" si="24"/>
        <v>#VALUE!</v>
      </c>
      <c r="K66" s="449">
        <f t="shared" si="24"/>
        <v>8000000</v>
      </c>
      <c r="L66" s="449">
        <f t="shared" si="24"/>
        <v>3600000</v>
      </c>
      <c r="M66" s="431">
        <f t="shared" si="24"/>
        <v>0</v>
      </c>
      <c r="N66" s="431">
        <f t="shared" si="24"/>
        <v>2250000</v>
      </c>
      <c r="O66" s="449">
        <f t="shared" si="24"/>
        <v>1500000</v>
      </c>
      <c r="P66" s="431">
        <f t="shared" si="24"/>
        <v>1306961780</v>
      </c>
      <c r="Q66" s="431">
        <f t="shared" si="24"/>
        <v>867093200</v>
      </c>
      <c r="R66" s="431">
        <f t="shared" si="24"/>
        <v>69807500</v>
      </c>
      <c r="S66" s="431">
        <f t="shared" si="24"/>
        <v>350000000</v>
      </c>
      <c r="T66" s="431">
        <f t="shared" si="24"/>
        <v>28400000</v>
      </c>
      <c r="U66" s="431">
        <f t="shared" si="24"/>
        <v>0</v>
      </c>
    </row>
    <row r="67" spans="1:21" s="420" customFormat="1" ht="18">
      <c r="A67" s="450"/>
      <c r="B67" s="450"/>
      <c r="C67" s="450"/>
      <c r="D67" s="451"/>
      <c r="E67" s="451">
        <v>1</v>
      </c>
      <c r="F67" s="451"/>
      <c r="G67" s="451"/>
      <c r="H67" s="452" t="s">
        <v>6</v>
      </c>
      <c r="I67" s="453">
        <f>SUM(I68+I77+I86+I91+I104)</f>
        <v>945053480</v>
      </c>
      <c r="J67" s="454" t="s">
        <v>9</v>
      </c>
      <c r="K67" s="453">
        <f t="shared" ref="K67:T67" si="25">SUM(K68+K77+K86+K91+K104)</f>
        <v>8000000</v>
      </c>
      <c r="L67" s="453">
        <f t="shared" si="25"/>
        <v>3600000</v>
      </c>
      <c r="M67" s="453">
        <f t="shared" si="25"/>
        <v>0</v>
      </c>
      <c r="N67" s="453">
        <f t="shared" si="25"/>
        <v>0</v>
      </c>
      <c r="O67" s="453">
        <f t="shared" si="25"/>
        <v>0</v>
      </c>
      <c r="P67" s="453">
        <f t="shared" si="25"/>
        <v>41960280</v>
      </c>
      <c r="Q67" s="453">
        <f t="shared" si="25"/>
        <v>865093200</v>
      </c>
      <c r="R67" s="453">
        <f t="shared" si="25"/>
        <v>20000000</v>
      </c>
      <c r="S67" s="453">
        <f t="shared" si="25"/>
        <v>0</v>
      </c>
      <c r="T67" s="455">
        <f t="shared" si="25"/>
        <v>6400000</v>
      </c>
    </row>
    <row r="68" spans="1:21" s="436" customFormat="1" ht="56.25" customHeight="1">
      <c r="A68" s="456"/>
      <c r="B68" s="456"/>
      <c r="C68" s="456"/>
      <c r="D68" s="457"/>
      <c r="E68" s="457">
        <v>1</v>
      </c>
      <c r="F68" s="458">
        <v>1</v>
      </c>
      <c r="G68" s="457"/>
      <c r="H68" s="459" t="s">
        <v>1028</v>
      </c>
      <c r="I68" s="460">
        <f>SUM(I69:I76)</f>
        <v>821476252</v>
      </c>
      <c r="J68" s="461">
        <f t="shared" ref="J68:T68" si="26">SUM(J69:J76)</f>
        <v>0</v>
      </c>
      <c r="K68" s="460">
        <f t="shared" si="26"/>
        <v>0</v>
      </c>
      <c r="L68" s="460">
        <f t="shared" si="26"/>
        <v>0</v>
      </c>
      <c r="M68" s="460">
        <f t="shared" si="26"/>
        <v>0</v>
      </c>
      <c r="N68" s="460">
        <f t="shared" si="26"/>
        <v>0</v>
      </c>
      <c r="O68" s="460">
        <f t="shared" si="26"/>
        <v>0</v>
      </c>
      <c r="P68" s="460">
        <f t="shared" si="26"/>
        <v>35960280</v>
      </c>
      <c r="Q68" s="460">
        <f t="shared" si="26"/>
        <v>785515972</v>
      </c>
      <c r="R68" s="460">
        <f t="shared" si="26"/>
        <v>0</v>
      </c>
      <c r="S68" s="460">
        <f t="shared" si="26"/>
        <v>0</v>
      </c>
      <c r="T68" s="460">
        <f t="shared" si="26"/>
        <v>0</v>
      </c>
    </row>
    <row r="69" spans="1:21" s="468" customFormat="1" ht="25.5" customHeight="1">
      <c r="A69" s="462"/>
      <c r="B69" s="462"/>
      <c r="C69" s="462"/>
      <c r="D69" s="463"/>
      <c r="E69" s="463">
        <v>1</v>
      </c>
      <c r="F69" s="464">
        <v>1</v>
      </c>
      <c r="G69" s="464" t="s">
        <v>960</v>
      </c>
      <c r="H69" s="465" t="s">
        <v>7</v>
      </c>
      <c r="I69" s="466">
        <f>SUM(J69:T69)</f>
        <v>37500000</v>
      </c>
      <c r="J69" s="467" t="s">
        <v>9</v>
      </c>
      <c r="K69" s="466">
        <v>0</v>
      </c>
      <c r="L69" s="466">
        <v>0</v>
      </c>
      <c r="M69" s="466">
        <v>0</v>
      </c>
      <c r="N69" s="466">
        <v>0</v>
      </c>
      <c r="O69" s="466">
        <v>0</v>
      </c>
      <c r="P69" s="466">
        <v>0</v>
      </c>
      <c r="Q69" s="466">
        <f>(3000000*12)+1500000</f>
        <v>37500000</v>
      </c>
      <c r="R69" s="466">
        <v>0</v>
      </c>
      <c r="S69" s="466">
        <v>0</v>
      </c>
      <c r="T69" s="466">
        <v>0</v>
      </c>
    </row>
    <row r="70" spans="1:21" s="475" customFormat="1" ht="33" customHeight="1">
      <c r="A70" s="469"/>
      <c r="B70" s="469"/>
      <c r="C70" s="469"/>
      <c r="D70" s="470"/>
      <c r="E70" s="470">
        <v>1</v>
      </c>
      <c r="F70" s="471">
        <v>1</v>
      </c>
      <c r="G70" s="471" t="s">
        <v>966</v>
      </c>
      <c r="H70" s="472" t="s">
        <v>10</v>
      </c>
      <c r="I70" s="473">
        <f t="shared" ref="I70:I76" si="27">SUM(J70:T70)</f>
        <v>628230000</v>
      </c>
      <c r="J70" s="474" t="s">
        <v>9</v>
      </c>
      <c r="K70" s="473">
        <v>0</v>
      </c>
      <c r="L70" s="473">
        <v>0</v>
      </c>
      <c r="M70" s="473">
        <v>0</v>
      </c>
      <c r="N70" s="473">
        <v>0</v>
      </c>
      <c r="O70" s="473">
        <v>0</v>
      </c>
      <c r="P70" s="473">
        <v>0</v>
      </c>
      <c r="Q70" s="473">
        <f>(2400000*12)+(2160000*6*12)+(2022500*13*12)+(1705000*5*12)+26100000</f>
        <v>628230000</v>
      </c>
      <c r="R70" s="473">
        <v>0</v>
      </c>
      <c r="S70" s="473">
        <v>0</v>
      </c>
      <c r="T70" s="473">
        <v>0</v>
      </c>
    </row>
    <row r="71" spans="1:21" s="468" customFormat="1" ht="37.5" customHeight="1">
      <c r="A71" s="462"/>
      <c r="B71" s="462"/>
      <c r="C71" s="462"/>
      <c r="D71" s="463"/>
      <c r="E71" s="463">
        <v>1</v>
      </c>
      <c r="F71" s="464">
        <v>1</v>
      </c>
      <c r="G71" s="464" t="s">
        <v>968</v>
      </c>
      <c r="H71" s="465" t="s">
        <v>11</v>
      </c>
      <c r="I71" s="466">
        <f t="shared" si="27"/>
        <v>51060972</v>
      </c>
      <c r="J71" s="467" t="s">
        <v>9</v>
      </c>
      <c r="K71" s="466">
        <v>0</v>
      </c>
      <c r="L71" s="466">
        <v>0</v>
      </c>
      <c r="M71" s="466">
        <v>0</v>
      </c>
      <c r="N71" s="466">
        <v>0</v>
      </c>
      <c r="O71" s="466">
        <v>0</v>
      </c>
      <c r="P71" s="466">
        <v>0</v>
      </c>
      <c r="Q71" s="466">
        <v>51060972</v>
      </c>
      <c r="R71" s="466">
        <v>0</v>
      </c>
      <c r="S71" s="466">
        <v>0</v>
      </c>
      <c r="T71" s="466">
        <v>0</v>
      </c>
    </row>
    <row r="72" spans="1:21" s="468" customFormat="1" ht="55.5" customHeight="1">
      <c r="A72" s="462"/>
      <c r="B72" s="462"/>
      <c r="C72" s="462"/>
      <c r="D72" s="463"/>
      <c r="E72" s="463">
        <v>1</v>
      </c>
      <c r="F72" s="464">
        <v>1</v>
      </c>
      <c r="G72" s="464" t="s">
        <v>970</v>
      </c>
      <c r="H72" s="465" t="s">
        <v>12</v>
      </c>
      <c r="I72" s="466">
        <f>SUM(J72:T72)</f>
        <v>35960280</v>
      </c>
      <c r="J72" s="467" t="s">
        <v>9</v>
      </c>
      <c r="K72" s="466">
        <v>0</v>
      </c>
      <c r="L72" s="466">
        <v>0</v>
      </c>
      <c r="M72" s="466">
        <v>0</v>
      </c>
      <c r="N72" s="466"/>
      <c r="O72" s="466">
        <v>0</v>
      </c>
      <c r="P72" s="466">
        <f>3/100*1198676000</f>
        <v>35960280</v>
      </c>
      <c r="Q72" s="473"/>
      <c r="R72" s="466">
        <v>0</v>
      </c>
      <c r="S72" s="466">
        <v>0</v>
      </c>
      <c r="T72" s="466"/>
    </row>
    <row r="73" spans="1:21" s="468" customFormat="1" ht="27" customHeight="1">
      <c r="A73" s="462"/>
      <c r="B73" s="462"/>
      <c r="C73" s="462"/>
      <c r="D73" s="463"/>
      <c r="E73" s="463">
        <v>1</v>
      </c>
      <c r="F73" s="464">
        <v>1</v>
      </c>
      <c r="G73" s="464" t="s">
        <v>972</v>
      </c>
      <c r="H73" s="465" t="s">
        <v>13</v>
      </c>
      <c r="I73" s="466">
        <f t="shared" si="27"/>
        <v>40625000</v>
      </c>
      <c r="J73" s="467" t="s">
        <v>9</v>
      </c>
      <c r="K73" s="466">
        <v>0</v>
      </c>
      <c r="L73" s="466">
        <v>0</v>
      </c>
      <c r="M73" s="466">
        <v>0</v>
      </c>
      <c r="N73" s="466">
        <v>0</v>
      </c>
      <c r="O73" s="466">
        <v>0</v>
      </c>
      <c r="P73" s="466">
        <v>0</v>
      </c>
      <c r="Q73" s="466">
        <f>(12*500000)+(12*450000)+(12*400000)+(12*2*350000)+(12*4*300000)+1625000</f>
        <v>40625000</v>
      </c>
      <c r="R73" s="466">
        <v>0</v>
      </c>
      <c r="S73" s="466">
        <v>0</v>
      </c>
      <c r="T73" s="466">
        <v>0</v>
      </c>
    </row>
    <row r="74" spans="1:21" s="468" customFormat="1" ht="56.25" customHeight="1">
      <c r="A74" s="462"/>
      <c r="B74" s="462"/>
      <c r="C74" s="462"/>
      <c r="D74" s="437"/>
      <c r="E74" s="463">
        <v>1</v>
      </c>
      <c r="F74" s="464">
        <v>1</v>
      </c>
      <c r="G74" s="464" t="s">
        <v>974</v>
      </c>
      <c r="H74" s="465" t="s">
        <v>1029</v>
      </c>
      <c r="I74" s="466">
        <f t="shared" si="27"/>
        <v>5000000</v>
      </c>
      <c r="J74" s="467" t="s">
        <v>9</v>
      </c>
      <c r="K74" s="466">
        <v>0</v>
      </c>
      <c r="L74" s="466">
        <v>0</v>
      </c>
      <c r="M74" s="466">
        <v>0</v>
      </c>
      <c r="N74" s="466">
        <v>0</v>
      </c>
      <c r="O74" s="466">
        <v>0</v>
      </c>
      <c r="P74" s="466">
        <v>0</v>
      </c>
      <c r="Q74" s="466">
        <v>5000000</v>
      </c>
      <c r="R74" s="466">
        <v>0</v>
      </c>
      <c r="S74" s="466">
        <v>0</v>
      </c>
      <c r="T74" s="466">
        <v>0</v>
      </c>
    </row>
    <row r="75" spans="1:21" s="468" customFormat="1" ht="27" customHeight="1">
      <c r="A75" s="462"/>
      <c r="B75" s="462"/>
      <c r="C75" s="462"/>
      <c r="D75" s="463"/>
      <c r="E75" s="463">
        <v>1</v>
      </c>
      <c r="F75" s="464">
        <v>1</v>
      </c>
      <c r="G75" s="464" t="s">
        <v>976</v>
      </c>
      <c r="H75" s="465" t="s">
        <v>14</v>
      </c>
      <c r="I75" s="466">
        <f t="shared" si="27"/>
        <v>23100000</v>
      </c>
      <c r="J75" s="467" t="s">
        <v>9</v>
      </c>
      <c r="K75" s="466">
        <v>0</v>
      </c>
      <c r="L75" s="466">
        <v>0</v>
      </c>
      <c r="M75" s="466">
        <v>0</v>
      </c>
      <c r="N75" s="466">
        <v>0</v>
      </c>
      <c r="O75" s="466">
        <v>0</v>
      </c>
      <c r="P75" s="466">
        <v>0</v>
      </c>
      <c r="Q75" s="466">
        <f>(14*300000)+(63*300000)</f>
        <v>23100000</v>
      </c>
      <c r="R75" s="466">
        <v>0</v>
      </c>
      <c r="S75" s="466">
        <v>0</v>
      </c>
      <c r="T75" s="466">
        <v>0</v>
      </c>
    </row>
    <row r="76" spans="1:21" s="468" customFormat="1" ht="51" customHeight="1">
      <c r="A76" s="462"/>
      <c r="B76" s="462"/>
      <c r="C76" s="462"/>
      <c r="D76" s="463"/>
      <c r="E76" s="463">
        <v>1</v>
      </c>
      <c r="F76" s="464">
        <v>1</v>
      </c>
      <c r="G76" s="464" t="s">
        <v>1030</v>
      </c>
      <c r="H76" s="465" t="s">
        <v>1031</v>
      </c>
      <c r="I76" s="466">
        <f t="shared" si="27"/>
        <v>0</v>
      </c>
      <c r="J76" s="467" t="s">
        <v>9</v>
      </c>
      <c r="K76" s="466">
        <v>0</v>
      </c>
      <c r="L76" s="466">
        <v>0</v>
      </c>
      <c r="M76" s="466">
        <v>0</v>
      </c>
      <c r="N76" s="466">
        <v>0</v>
      </c>
      <c r="O76" s="466">
        <v>0</v>
      </c>
      <c r="P76" s="466">
        <v>0</v>
      </c>
      <c r="Q76" s="466">
        <v>0</v>
      </c>
      <c r="R76" s="466">
        <v>0</v>
      </c>
      <c r="S76" s="466">
        <v>0</v>
      </c>
      <c r="T76" s="466">
        <v>0</v>
      </c>
    </row>
    <row r="77" spans="1:21" s="436" customFormat="1" ht="24.75" customHeight="1">
      <c r="A77" s="456"/>
      <c r="B77" s="456"/>
      <c r="C77" s="456"/>
      <c r="D77" s="457"/>
      <c r="E77" s="457">
        <v>1</v>
      </c>
      <c r="F77" s="458">
        <v>2</v>
      </c>
      <c r="G77" s="458"/>
      <c r="H77" s="459" t="s">
        <v>1032</v>
      </c>
      <c r="I77" s="460">
        <f>SUM(I78:I85)</f>
        <v>38900000</v>
      </c>
      <c r="J77" s="476" t="s">
        <v>9</v>
      </c>
      <c r="K77" s="460">
        <f t="shared" ref="K77:T77" si="28">SUM(K78:K85)</f>
        <v>0</v>
      </c>
      <c r="L77" s="460">
        <f t="shared" si="28"/>
        <v>0</v>
      </c>
      <c r="M77" s="460">
        <f t="shared" si="28"/>
        <v>0</v>
      </c>
      <c r="N77" s="460">
        <f t="shared" si="28"/>
        <v>0</v>
      </c>
      <c r="O77" s="460">
        <f t="shared" si="28"/>
        <v>0</v>
      </c>
      <c r="P77" s="460">
        <f t="shared" si="28"/>
        <v>0</v>
      </c>
      <c r="Q77" s="460">
        <f t="shared" si="28"/>
        <v>28900000</v>
      </c>
      <c r="R77" s="460">
        <f t="shared" si="28"/>
        <v>10000000</v>
      </c>
      <c r="S77" s="460">
        <f t="shared" si="28"/>
        <v>0</v>
      </c>
      <c r="T77" s="477">
        <f t="shared" si="28"/>
        <v>0</v>
      </c>
    </row>
    <row r="78" spans="1:21" s="468" customFormat="1" ht="36.75" customHeight="1">
      <c r="A78" s="462"/>
      <c r="B78" s="462"/>
      <c r="C78" s="462"/>
      <c r="D78" s="463"/>
      <c r="E78" s="463">
        <v>1</v>
      </c>
      <c r="F78" s="464">
        <v>2</v>
      </c>
      <c r="G78" s="464" t="s">
        <v>966</v>
      </c>
      <c r="H78" s="465" t="s">
        <v>1033</v>
      </c>
      <c r="I78" s="466">
        <f t="shared" ref="I78:I85" si="29">SUM(J78:T78)</f>
        <v>4000000</v>
      </c>
      <c r="J78" s="467" t="s">
        <v>9</v>
      </c>
      <c r="K78" s="466"/>
      <c r="L78" s="466"/>
      <c r="M78" s="466"/>
      <c r="N78" s="466"/>
      <c r="O78" s="466"/>
      <c r="P78" s="466"/>
      <c r="Q78" s="466">
        <v>4000000</v>
      </c>
      <c r="R78" s="466"/>
      <c r="S78" s="466"/>
      <c r="T78" s="478"/>
    </row>
    <row r="79" spans="1:21" s="468" customFormat="1" ht="36.75" customHeight="1">
      <c r="A79" s="462"/>
      <c r="B79" s="462"/>
      <c r="C79" s="462"/>
      <c r="D79" s="463"/>
      <c r="E79" s="463">
        <v>1</v>
      </c>
      <c r="F79" s="464">
        <v>2</v>
      </c>
      <c r="G79" s="464" t="s">
        <v>968</v>
      </c>
      <c r="H79" s="465" t="s">
        <v>77</v>
      </c>
      <c r="I79" s="466">
        <f t="shared" si="29"/>
        <v>10000000</v>
      </c>
      <c r="J79" s="467" t="s">
        <v>31</v>
      </c>
      <c r="K79" s="466"/>
      <c r="L79" s="466"/>
      <c r="M79" s="466"/>
      <c r="N79" s="466"/>
      <c r="O79" s="466"/>
      <c r="P79" s="466"/>
      <c r="Q79" s="466"/>
      <c r="R79" s="466">
        <v>10000000</v>
      </c>
      <c r="S79" s="466"/>
      <c r="T79" s="478"/>
    </row>
    <row r="80" spans="1:21" s="468" customFormat="1" ht="27" customHeight="1">
      <c r="A80" s="462"/>
      <c r="B80" s="462"/>
      <c r="C80" s="462"/>
      <c r="D80" s="463"/>
      <c r="E80" s="463">
        <v>1</v>
      </c>
      <c r="F80" s="464">
        <v>2</v>
      </c>
      <c r="G80" s="464" t="s">
        <v>319</v>
      </c>
      <c r="H80" s="465" t="s">
        <v>1034</v>
      </c>
      <c r="I80" s="466">
        <f t="shared" si="29"/>
        <v>8000000</v>
      </c>
      <c r="J80" s="479" t="s">
        <v>9</v>
      </c>
      <c r="K80" s="466"/>
      <c r="L80" s="466"/>
      <c r="M80" s="466"/>
      <c r="N80" s="466"/>
      <c r="O80" s="466"/>
      <c r="P80" s="466"/>
      <c r="Q80" s="466">
        <v>8000000</v>
      </c>
      <c r="R80" s="466"/>
      <c r="S80" s="466"/>
      <c r="T80" s="466"/>
    </row>
    <row r="81" spans="1:20" s="475" customFormat="1" ht="27" customHeight="1">
      <c r="A81" s="469"/>
      <c r="B81" s="469"/>
      <c r="C81" s="469"/>
      <c r="D81" s="470"/>
      <c r="E81" s="470">
        <v>1</v>
      </c>
      <c r="F81" s="471">
        <v>2</v>
      </c>
      <c r="G81" s="471" t="s">
        <v>319</v>
      </c>
      <c r="H81" s="472" t="s">
        <v>1035</v>
      </c>
      <c r="I81" s="473">
        <f t="shared" si="29"/>
        <v>9000000</v>
      </c>
      <c r="J81" s="480" t="s">
        <v>9</v>
      </c>
      <c r="K81" s="473"/>
      <c r="L81" s="473"/>
      <c r="M81" s="473"/>
      <c r="N81" s="473"/>
      <c r="O81" s="473"/>
      <c r="P81" s="473"/>
      <c r="Q81" s="473">
        <f>1500000*6</f>
        <v>9000000</v>
      </c>
      <c r="R81" s="473"/>
      <c r="S81" s="473"/>
      <c r="T81" s="473"/>
    </row>
    <row r="82" spans="1:20" s="468" customFormat="1" ht="27" customHeight="1">
      <c r="A82" s="462"/>
      <c r="B82" s="462"/>
      <c r="C82" s="462"/>
      <c r="D82" s="463"/>
      <c r="E82" s="463">
        <v>1</v>
      </c>
      <c r="F82" s="464">
        <v>2</v>
      </c>
      <c r="G82" s="464" t="s">
        <v>1036</v>
      </c>
      <c r="H82" s="465" t="s">
        <v>80</v>
      </c>
      <c r="I82" s="466">
        <f t="shared" si="29"/>
        <v>4700000</v>
      </c>
      <c r="J82" s="479" t="s">
        <v>9</v>
      </c>
      <c r="K82" s="466"/>
      <c r="L82" s="466"/>
      <c r="M82" s="466"/>
      <c r="N82" s="466"/>
      <c r="O82" s="466"/>
      <c r="P82" s="466"/>
      <c r="Q82" s="466">
        <v>4700000</v>
      </c>
      <c r="R82" s="466"/>
      <c r="S82" s="466"/>
      <c r="T82" s="466"/>
    </row>
    <row r="83" spans="1:20" s="468" customFormat="1" ht="27" customHeight="1">
      <c r="A83" s="462"/>
      <c r="B83" s="462"/>
      <c r="C83" s="462"/>
      <c r="D83" s="463"/>
      <c r="E83" s="463">
        <v>1</v>
      </c>
      <c r="F83" s="464">
        <v>2</v>
      </c>
      <c r="G83" s="464" t="s">
        <v>1037</v>
      </c>
      <c r="H83" s="465" t="s">
        <v>81</v>
      </c>
      <c r="I83" s="466">
        <f t="shared" si="29"/>
        <v>1500000</v>
      </c>
      <c r="J83" s="467" t="s">
        <v>9</v>
      </c>
      <c r="K83" s="466"/>
      <c r="L83" s="466"/>
      <c r="M83" s="466"/>
      <c r="N83" s="466"/>
      <c r="O83" s="466"/>
      <c r="P83" s="466"/>
      <c r="Q83" s="466">
        <v>1500000</v>
      </c>
      <c r="R83" s="466"/>
      <c r="S83" s="466"/>
      <c r="T83" s="466"/>
    </row>
    <row r="84" spans="1:20" s="468" customFormat="1" ht="27" customHeight="1">
      <c r="A84" s="462"/>
      <c r="B84" s="462"/>
      <c r="C84" s="462"/>
      <c r="D84" s="463"/>
      <c r="E84" s="463">
        <v>1</v>
      </c>
      <c r="F84" s="464">
        <v>2</v>
      </c>
      <c r="G84" s="464" t="s">
        <v>1038</v>
      </c>
      <c r="H84" s="465" t="s">
        <v>82</v>
      </c>
      <c r="I84" s="466">
        <f t="shared" si="29"/>
        <v>1700000</v>
      </c>
      <c r="J84" s="467" t="s">
        <v>9</v>
      </c>
      <c r="K84" s="466"/>
      <c r="L84" s="466"/>
      <c r="M84" s="466"/>
      <c r="N84" s="466"/>
      <c r="O84" s="466"/>
      <c r="P84" s="466"/>
      <c r="Q84" s="466">
        <v>1700000</v>
      </c>
      <c r="R84" s="466"/>
      <c r="S84" s="466"/>
      <c r="T84" s="466"/>
    </row>
    <row r="85" spans="1:20" s="468" customFormat="1" ht="27" customHeight="1">
      <c r="A85" s="462"/>
      <c r="B85" s="462"/>
      <c r="C85" s="462"/>
      <c r="D85" s="463"/>
      <c r="E85" s="463">
        <v>1</v>
      </c>
      <c r="F85" s="464">
        <v>2</v>
      </c>
      <c r="G85" s="464" t="s">
        <v>1030</v>
      </c>
      <c r="H85" s="465" t="s">
        <v>1039</v>
      </c>
      <c r="I85" s="466">
        <f t="shared" si="29"/>
        <v>0</v>
      </c>
      <c r="J85" s="467">
        <v>0</v>
      </c>
      <c r="K85" s="466">
        <v>0</v>
      </c>
      <c r="L85" s="466">
        <v>0</v>
      </c>
      <c r="M85" s="466">
        <v>0</v>
      </c>
      <c r="N85" s="466">
        <v>0</v>
      </c>
      <c r="O85" s="466">
        <v>0</v>
      </c>
      <c r="P85" s="466">
        <v>0</v>
      </c>
      <c r="Q85" s="466">
        <v>0</v>
      </c>
      <c r="R85" s="466">
        <v>0</v>
      </c>
      <c r="S85" s="466">
        <v>0</v>
      </c>
      <c r="T85" s="466">
        <v>0</v>
      </c>
    </row>
    <row r="86" spans="1:20" s="436" customFormat="1" ht="40.5" customHeight="1">
      <c r="A86" s="456"/>
      <c r="B86" s="456"/>
      <c r="C86" s="456"/>
      <c r="D86" s="457"/>
      <c r="E86" s="457">
        <v>1</v>
      </c>
      <c r="F86" s="458">
        <v>3</v>
      </c>
      <c r="G86" s="458"/>
      <c r="H86" s="459" t="s">
        <v>1040</v>
      </c>
      <c r="I86" s="460">
        <f>SUM(I87:I90)</f>
        <v>12360000</v>
      </c>
      <c r="J86" s="461" t="s">
        <v>9</v>
      </c>
      <c r="K86" s="460">
        <f>SUM(K87:K90)</f>
        <v>0</v>
      </c>
      <c r="L86" s="460">
        <f t="shared" ref="L86:T86" si="30">SUM(L87:L90)</f>
        <v>0</v>
      </c>
      <c r="M86" s="460">
        <f t="shared" si="30"/>
        <v>0</v>
      </c>
      <c r="N86" s="460">
        <f t="shared" si="30"/>
        <v>0</v>
      </c>
      <c r="O86" s="460">
        <f t="shared" si="30"/>
        <v>0</v>
      </c>
      <c r="P86" s="460">
        <f t="shared" si="30"/>
        <v>0</v>
      </c>
      <c r="Q86" s="460">
        <f t="shared" si="30"/>
        <v>12360000</v>
      </c>
      <c r="R86" s="460">
        <f t="shared" si="30"/>
        <v>0</v>
      </c>
      <c r="S86" s="460">
        <f t="shared" si="30"/>
        <v>0</v>
      </c>
      <c r="T86" s="460">
        <f t="shared" si="30"/>
        <v>0</v>
      </c>
    </row>
    <row r="87" spans="1:20" s="468" customFormat="1" ht="39" customHeight="1">
      <c r="A87" s="462"/>
      <c r="B87" s="462"/>
      <c r="C87" s="462"/>
      <c r="D87" s="463"/>
      <c r="E87" s="463">
        <v>1</v>
      </c>
      <c r="F87" s="464">
        <v>3</v>
      </c>
      <c r="G87" s="464" t="s">
        <v>966</v>
      </c>
      <c r="H87" s="465" t="s">
        <v>86</v>
      </c>
      <c r="I87" s="466">
        <f>SUM(J87:T87)</f>
        <v>5000000</v>
      </c>
      <c r="J87" s="467" t="s">
        <v>9</v>
      </c>
      <c r="K87" s="466">
        <v>0</v>
      </c>
      <c r="L87" s="466">
        <v>0</v>
      </c>
      <c r="M87" s="466">
        <v>0</v>
      </c>
      <c r="N87" s="466">
        <v>0</v>
      </c>
      <c r="O87" s="466">
        <v>0</v>
      </c>
      <c r="P87" s="466">
        <v>0</v>
      </c>
      <c r="Q87" s="466">
        <v>5000000</v>
      </c>
      <c r="R87" s="466">
        <v>0</v>
      </c>
      <c r="S87" s="466">
        <v>0</v>
      </c>
      <c r="T87" s="466">
        <v>0</v>
      </c>
    </row>
    <row r="88" spans="1:20" s="468" customFormat="1" ht="39" customHeight="1">
      <c r="A88" s="462"/>
      <c r="B88" s="462"/>
      <c r="C88" s="462"/>
      <c r="D88" s="463"/>
      <c r="E88" s="463">
        <v>1</v>
      </c>
      <c r="F88" s="464">
        <v>3</v>
      </c>
      <c r="G88" s="464" t="s">
        <v>319</v>
      </c>
      <c r="H88" s="465" t="s">
        <v>1041</v>
      </c>
      <c r="I88" s="466">
        <f>SUM(J88:T88)</f>
        <v>3600000</v>
      </c>
      <c r="J88" s="467" t="s">
        <v>9</v>
      </c>
      <c r="K88" s="466">
        <v>0</v>
      </c>
      <c r="L88" s="466">
        <v>0</v>
      </c>
      <c r="M88" s="466">
        <v>0</v>
      </c>
      <c r="N88" s="466">
        <v>0</v>
      </c>
      <c r="O88" s="466">
        <v>0</v>
      </c>
      <c r="P88" s="466">
        <v>0</v>
      </c>
      <c r="Q88" s="466">
        <v>3600000</v>
      </c>
      <c r="R88" s="466">
        <v>0</v>
      </c>
      <c r="S88" s="466">
        <v>0</v>
      </c>
      <c r="T88" s="466">
        <v>0</v>
      </c>
    </row>
    <row r="89" spans="1:20" s="468" customFormat="1" ht="18.75">
      <c r="A89" s="462"/>
      <c r="B89" s="462"/>
      <c r="C89" s="462"/>
      <c r="D89" s="463"/>
      <c r="E89" s="481">
        <v>1</v>
      </c>
      <c r="F89" s="482">
        <v>3</v>
      </c>
      <c r="G89" s="464" t="s">
        <v>1042</v>
      </c>
      <c r="H89" s="483" t="s">
        <v>88</v>
      </c>
      <c r="I89" s="466">
        <f>SUM(J89:T89)</f>
        <v>3760000</v>
      </c>
      <c r="J89" s="467" t="s">
        <v>9</v>
      </c>
      <c r="K89" s="466">
        <v>0</v>
      </c>
      <c r="L89" s="466">
        <v>0</v>
      </c>
      <c r="M89" s="466">
        <v>0</v>
      </c>
      <c r="N89" s="466">
        <v>0</v>
      </c>
      <c r="O89" s="466">
        <v>0</v>
      </c>
      <c r="P89" s="466">
        <v>0</v>
      </c>
      <c r="Q89" s="466">
        <v>3760000</v>
      </c>
      <c r="R89" s="466">
        <v>0</v>
      </c>
      <c r="S89" s="466">
        <v>0</v>
      </c>
      <c r="T89" s="466">
        <v>0</v>
      </c>
    </row>
    <row r="90" spans="1:20" s="468" customFormat="1" ht="43.5" customHeight="1">
      <c r="A90" s="462"/>
      <c r="B90" s="462"/>
      <c r="C90" s="462"/>
      <c r="D90" s="463"/>
      <c r="E90" s="463">
        <v>1</v>
      </c>
      <c r="F90" s="464">
        <v>3</v>
      </c>
      <c r="G90" s="464" t="s">
        <v>1030</v>
      </c>
      <c r="H90" s="484" t="s">
        <v>1043</v>
      </c>
      <c r="I90" s="466">
        <f>SUM(J90:T90)</f>
        <v>0</v>
      </c>
      <c r="J90" s="467" t="s">
        <v>9</v>
      </c>
      <c r="K90" s="466">
        <v>0</v>
      </c>
      <c r="L90" s="466">
        <v>0</v>
      </c>
      <c r="M90" s="466">
        <v>0</v>
      </c>
      <c r="N90" s="466">
        <v>0</v>
      </c>
      <c r="O90" s="466">
        <v>0</v>
      </c>
      <c r="P90" s="466">
        <v>0</v>
      </c>
      <c r="Q90" s="466">
        <v>0</v>
      </c>
      <c r="R90" s="466">
        <v>0</v>
      </c>
      <c r="S90" s="466">
        <v>0</v>
      </c>
      <c r="T90" s="466">
        <v>0</v>
      </c>
    </row>
    <row r="91" spans="1:20" s="492" customFormat="1" ht="41.25" customHeight="1">
      <c r="A91" s="485"/>
      <c r="B91" s="485"/>
      <c r="C91" s="485"/>
      <c r="D91" s="486"/>
      <c r="E91" s="486">
        <v>1</v>
      </c>
      <c r="F91" s="487">
        <v>4</v>
      </c>
      <c r="G91" s="488"/>
      <c r="H91" s="489" t="s">
        <v>1044</v>
      </c>
      <c r="I91" s="490">
        <f>SUM(I92:I103)</f>
        <v>51663000</v>
      </c>
      <c r="J91" s="491" t="s">
        <v>9</v>
      </c>
      <c r="K91" s="490">
        <f t="shared" ref="K91:T91" si="31">SUM(K92:K103)</f>
        <v>0</v>
      </c>
      <c r="L91" s="490">
        <f t="shared" si="31"/>
        <v>0</v>
      </c>
      <c r="M91" s="490">
        <f t="shared" si="31"/>
        <v>0</v>
      </c>
      <c r="N91" s="490">
        <f t="shared" si="31"/>
        <v>0</v>
      </c>
      <c r="O91" s="490">
        <f t="shared" si="31"/>
        <v>0</v>
      </c>
      <c r="P91" s="490">
        <f t="shared" si="31"/>
        <v>6000000</v>
      </c>
      <c r="Q91" s="490">
        <f t="shared" si="31"/>
        <v>31663000</v>
      </c>
      <c r="R91" s="490">
        <f t="shared" si="31"/>
        <v>10000000</v>
      </c>
      <c r="S91" s="490">
        <f t="shared" si="31"/>
        <v>0</v>
      </c>
      <c r="T91" s="490">
        <f t="shared" si="31"/>
        <v>4000000</v>
      </c>
    </row>
    <row r="92" spans="1:20" s="468" customFormat="1" ht="42" customHeight="1">
      <c r="A92" s="462"/>
      <c r="B92" s="462"/>
      <c r="C92" s="462"/>
      <c r="D92" s="463"/>
      <c r="E92" s="493">
        <v>1</v>
      </c>
      <c r="F92" s="482">
        <v>4</v>
      </c>
      <c r="G92" s="493" t="s">
        <v>960</v>
      </c>
      <c r="H92" s="484" t="s">
        <v>1045</v>
      </c>
      <c r="I92" s="466">
        <f>SUM(J92:T92)</f>
        <v>1750000</v>
      </c>
      <c r="J92" s="467" t="s">
        <v>9</v>
      </c>
      <c r="K92" s="466">
        <v>0</v>
      </c>
      <c r="L92" s="466">
        <v>0</v>
      </c>
      <c r="M92" s="466">
        <v>0</v>
      </c>
      <c r="N92" s="466">
        <v>0</v>
      </c>
      <c r="O92" s="466">
        <v>0</v>
      </c>
      <c r="P92" s="466">
        <v>0</v>
      </c>
      <c r="Q92" s="466">
        <f>200000+150000+(40*30000)+200000</f>
        <v>1750000</v>
      </c>
      <c r="R92" s="466">
        <v>0</v>
      </c>
      <c r="S92" s="466">
        <v>0</v>
      </c>
      <c r="T92" s="466">
        <v>0</v>
      </c>
    </row>
    <row r="93" spans="1:20" s="468" customFormat="1" ht="36.75" customHeight="1">
      <c r="A93" s="462"/>
      <c r="B93" s="462"/>
      <c r="C93" s="462"/>
      <c r="D93" s="437"/>
      <c r="E93" s="493">
        <v>1</v>
      </c>
      <c r="F93" s="482">
        <v>4</v>
      </c>
      <c r="G93" s="494" t="s">
        <v>968</v>
      </c>
      <c r="H93" s="484" t="s">
        <v>1046</v>
      </c>
      <c r="I93" s="466">
        <f t="shared" ref="I93:I103" si="32">SUM(J93:T93)</f>
        <v>2980000</v>
      </c>
      <c r="J93" s="467" t="s">
        <v>9</v>
      </c>
      <c r="K93" s="466">
        <v>0</v>
      </c>
      <c r="L93" s="466">
        <v>0</v>
      </c>
      <c r="M93" s="466">
        <v>0</v>
      </c>
      <c r="N93" s="466">
        <v>0</v>
      </c>
      <c r="O93" s="466">
        <v>0</v>
      </c>
      <c r="P93" s="466">
        <v>0</v>
      </c>
      <c r="Q93" s="466">
        <v>2980000</v>
      </c>
      <c r="R93" s="466">
        <v>0</v>
      </c>
      <c r="S93" s="466">
        <v>0</v>
      </c>
      <c r="T93" s="466">
        <v>0</v>
      </c>
    </row>
    <row r="94" spans="1:20" s="468" customFormat="1" ht="41.25" customHeight="1">
      <c r="A94" s="462"/>
      <c r="B94" s="462"/>
      <c r="C94" s="462"/>
      <c r="D94" s="463"/>
      <c r="E94" s="493">
        <v>1</v>
      </c>
      <c r="F94" s="482">
        <v>4</v>
      </c>
      <c r="G94" s="494" t="s">
        <v>970</v>
      </c>
      <c r="H94" s="484" t="s">
        <v>1047</v>
      </c>
      <c r="I94" s="466">
        <f t="shared" si="32"/>
        <v>3500000</v>
      </c>
      <c r="J94" s="467" t="s">
        <v>9</v>
      </c>
      <c r="K94" s="466">
        <v>0</v>
      </c>
      <c r="L94" s="466">
        <v>0</v>
      </c>
      <c r="M94" s="466">
        <v>0</v>
      </c>
      <c r="N94" s="466">
        <v>0</v>
      </c>
      <c r="O94" s="466">
        <v>0</v>
      </c>
      <c r="P94" s="466">
        <v>0</v>
      </c>
      <c r="Q94" s="466">
        <f>(200000+150000+(40*30000)+200000)*2</f>
        <v>3500000</v>
      </c>
      <c r="R94" s="466">
        <v>0</v>
      </c>
      <c r="S94" s="466">
        <v>0</v>
      </c>
      <c r="T94" s="466">
        <v>0</v>
      </c>
    </row>
    <row r="95" spans="1:20" s="468" customFormat="1" ht="28.5" customHeight="1">
      <c r="A95" s="462"/>
      <c r="B95" s="462"/>
      <c r="C95" s="462"/>
      <c r="D95" s="463"/>
      <c r="E95" s="493">
        <v>1</v>
      </c>
      <c r="F95" s="482">
        <v>4</v>
      </c>
      <c r="G95" s="494" t="s">
        <v>972</v>
      </c>
      <c r="H95" s="495" t="s">
        <v>1048</v>
      </c>
      <c r="I95" s="466">
        <f t="shared" si="32"/>
        <v>4000000</v>
      </c>
      <c r="J95" s="467" t="s">
        <v>9</v>
      </c>
      <c r="K95" s="466">
        <v>0</v>
      </c>
      <c r="L95" s="466">
        <v>0</v>
      </c>
      <c r="M95" s="466">
        <v>0</v>
      </c>
      <c r="N95" s="466">
        <v>0</v>
      </c>
      <c r="O95" s="466">
        <v>0</v>
      </c>
      <c r="P95" s="466">
        <v>0</v>
      </c>
      <c r="Q95" s="466"/>
      <c r="R95" s="466">
        <v>0</v>
      </c>
      <c r="S95" s="466">
        <v>0</v>
      </c>
      <c r="T95" s="466">
        <v>4000000</v>
      </c>
    </row>
    <row r="96" spans="1:20" s="468" customFormat="1" ht="45.75" customHeight="1">
      <c r="A96" s="462"/>
      <c r="B96" s="462"/>
      <c r="C96" s="462"/>
      <c r="D96" s="463"/>
      <c r="E96" s="493">
        <v>1</v>
      </c>
      <c r="F96" s="482">
        <v>4</v>
      </c>
      <c r="G96" s="494" t="s">
        <v>974</v>
      </c>
      <c r="H96" s="484" t="s">
        <v>1049</v>
      </c>
      <c r="I96" s="466">
        <f t="shared" si="32"/>
        <v>2980000</v>
      </c>
      <c r="J96" s="467" t="s">
        <v>9</v>
      </c>
      <c r="K96" s="466">
        <v>0</v>
      </c>
      <c r="L96" s="466">
        <v>0</v>
      </c>
      <c r="M96" s="466">
        <v>0</v>
      </c>
      <c r="N96" s="466">
        <v>0</v>
      </c>
      <c r="O96" s="466">
        <v>0</v>
      </c>
      <c r="P96" s="466">
        <v>0</v>
      </c>
      <c r="Q96" s="466">
        <v>2980000</v>
      </c>
      <c r="R96" s="466">
        <v>0</v>
      </c>
      <c r="S96" s="466">
        <v>0</v>
      </c>
      <c r="T96" s="466">
        <v>0</v>
      </c>
    </row>
    <row r="97" spans="1:20" s="468" customFormat="1" ht="57.75" customHeight="1">
      <c r="A97" s="462"/>
      <c r="B97" s="462"/>
      <c r="C97" s="462"/>
      <c r="D97" s="437"/>
      <c r="E97" s="493">
        <v>1</v>
      </c>
      <c r="F97" s="482">
        <v>4</v>
      </c>
      <c r="G97" s="494" t="s">
        <v>976</v>
      </c>
      <c r="H97" s="484" t="s">
        <v>16</v>
      </c>
      <c r="I97" s="466">
        <f t="shared" si="32"/>
        <v>1750000</v>
      </c>
      <c r="J97" s="467" t="s">
        <v>9</v>
      </c>
      <c r="K97" s="466">
        <v>0</v>
      </c>
      <c r="L97" s="466">
        <v>0</v>
      </c>
      <c r="M97" s="466">
        <v>0</v>
      </c>
      <c r="N97" s="466">
        <v>0</v>
      </c>
      <c r="O97" s="466">
        <v>0</v>
      </c>
      <c r="P97" s="466">
        <v>0</v>
      </c>
      <c r="Q97" s="466">
        <f>200000+150000+(40*30000)+200000</f>
        <v>1750000</v>
      </c>
      <c r="R97" s="466">
        <v>0</v>
      </c>
      <c r="S97" s="466">
        <v>0</v>
      </c>
      <c r="T97" s="466">
        <v>0</v>
      </c>
    </row>
    <row r="98" spans="1:20" s="468" customFormat="1" ht="48" customHeight="1">
      <c r="A98" s="462"/>
      <c r="B98" s="462"/>
      <c r="C98" s="462"/>
      <c r="D98" s="437"/>
      <c r="E98" s="493">
        <v>1</v>
      </c>
      <c r="F98" s="482">
        <v>4</v>
      </c>
      <c r="G98" s="494" t="s">
        <v>978</v>
      </c>
      <c r="H98" s="484" t="s">
        <v>98</v>
      </c>
      <c r="I98" s="466">
        <f t="shared" si="32"/>
        <v>6000000</v>
      </c>
      <c r="J98" s="467" t="s">
        <v>914</v>
      </c>
      <c r="K98" s="466">
        <v>0</v>
      </c>
      <c r="L98" s="466">
        <v>0</v>
      </c>
      <c r="M98" s="466">
        <v>0</v>
      </c>
      <c r="N98" s="466">
        <v>0</v>
      </c>
      <c r="O98" s="466">
        <v>0</v>
      </c>
      <c r="P98" s="466">
        <v>6000000</v>
      </c>
      <c r="Q98" s="466"/>
      <c r="R98" s="466">
        <v>0</v>
      </c>
      <c r="S98" s="466">
        <v>0</v>
      </c>
      <c r="T98" s="466">
        <v>0</v>
      </c>
    </row>
    <row r="99" spans="1:20" s="468" customFormat="1" ht="39.75" customHeight="1">
      <c r="A99" s="462"/>
      <c r="B99" s="462"/>
      <c r="C99" s="462"/>
      <c r="D99" s="437"/>
      <c r="E99" s="493">
        <v>1</v>
      </c>
      <c r="F99" s="482">
        <v>4</v>
      </c>
      <c r="G99" s="494" t="s">
        <v>319</v>
      </c>
      <c r="H99" s="484" t="s">
        <v>101</v>
      </c>
      <c r="I99" s="466">
        <f t="shared" si="32"/>
        <v>4300000</v>
      </c>
      <c r="J99" s="467" t="s">
        <v>9</v>
      </c>
      <c r="K99" s="466">
        <v>0</v>
      </c>
      <c r="L99" s="466">
        <v>0</v>
      </c>
      <c r="M99" s="466">
        <v>0</v>
      </c>
      <c r="N99" s="466">
        <v>0</v>
      </c>
      <c r="O99" s="466">
        <v>0</v>
      </c>
      <c r="P99" s="466">
        <v>0</v>
      </c>
      <c r="Q99" s="466">
        <v>4300000</v>
      </c>
      <c r="R99" s="466">
        <v>0</v>
      </c>
      <c r="S99" s="466">
        <v>0</v>
      </c>
      <c r="T99" s="466">
        <v>0</v>
      </c>
    </row>
    <row r="100" spans="1:20" s="468" customFormat="1" ht="39.75" customHeight="1">
      <c r="A100" s="462"/>
      <c r="B100" s="462"/>
      <c r="C100" s="462"/>
      <c r="D100" s="437"/>
      <c r="E100" s="493">
        <v>1</v>
      </c>
      <c r="F100" s="482">
        <v>4</v>
      </c>
      <c r="G100" s="494" t="s">
        <v>1042</v>
      </c>
      <c r="H100" s="484" t="s">
        <v>1112</v>
      </c>
      <c r="I100" s="466">
        <f>SUM(J100:T100)</f>
        <v>10000000</v>
      </c>
      <c r="J100" s="467" t="s">
        <v>31</v>
      </c>
      <c r="K100" s="466"/>
      <c r="L100" s="466"/>
      <c r="M100" s="466"/>
      <c r="N100" s="466"/>
      <c r="O100" s="466"/>
      <c r="P100" s="466"/>
      <c r="Q100" s="466"/>
      <c r="R100" s="466">
        <v>10000000</v>
      </c>
      <c r="S100" s="466"/>
      <c r="T100" s="466"/>
    </row>
    <row r="101" spans="1:20" s="468" customFormat="1" ht="39.75" customHeight="1">
      <c r="A101" s="462"/>
      <c r="B101" s="462"/>
      <c r="C101" s="462"/>
      <c r="D101" s="437"/>
      <c r="E101" s="493">
        <v>1</v>
      </c>
      <c r="F101" s="482">
        <v>4</v>
      </c>
      <c r="G101" s="494" t="s">
        <v>1036</v>
      </c>
      <c r="H101" s="484" t="s">
        <v>402</v>
      </c>
      <c r="I101" s="466">
        <f>SUM(J101:T101)</f>
        <v>6303000</v>
      </c>
      <c r="J101" s="467" t="s">
        <v>9</v>
      </c>
      <c r="K101" s="466"/>
      <c r="L101" s="466"/>
      <c r="M101" s="466"/>
      <c r="N101" s="466"/>
      <c r="O101" s="466"/>
      <c r="P101" s="466"/>
      <c r="Q101" s="466">
        <f>3*2101000</f>
        <v>6303000</v>
      </c>
      <c r="R101" s="466"/>
      <c r="S101" s="466"/>
      <c r="T101" s="466"/>
    </row>
    <row r="102" spans="1:20" s="468" customFormat="1" ht="39.75" customHeight="1">
      <c r="A102" s="462"/>
      <c r="B102" s="462"/>
      <c r="C102" s="462"/>
      <c r="D102" s="437"/>
      <c r="E102" s="493">
        <v>1</v>
      </c>
      <c r="F102" s="482">
        <v>4</v>
      </c>
      <c r="G102" s="494" t="s">
        <v>1038</v>
      </c>
      <c r="H102" s="484" t="s">
        <v>104</v>
      </c>
      <c r="I102" s="466">
        <f>SUM(J102:T102)</f>
        <v>8100000</v>
      </c>
      <c r="J102" s="467" t="s">
        <v>9</v>
      </c>
      <c r="K102" s="466"/>
      <c r="L102" s="466"/>
      <c r="M102" s="466"/>
      <c r="N102" s="466"/>
      <c r="O102" s="466"/>
      <c r="P102" s="466"/>
      <c r="Q102" s="466">
        <f>27*300000</f>
        <v>8100000</v>
      </c>
      <c r="R102" s="466"/>
      <c r="S102" s="466"/>
      <c r="T102" s="466"/>
    </row>
    <row r="103" spans="1:20" s="468" customFormat="1" ht="40.5" customHeight="1">
      <c r="A103" s="462"/>
      <c r="B103" s="462"/>
      <c r="C103" s="462"/>
      <c r="D103" s="437"/>
      <c r="E103" s="493">
        <v>1</v>
      </c>
      <c r="F103" s="482">
        <v>4</v>
      </c>
      <c r="G103" s="494" t="s">
        <v>1030</v>
      </c>
      <c r="H103" s="484" t="s">
        <v>1050</v>
      </c>
      <c r="I103" s="466">
        <f t="shared" si="32"/>
        <v>0</v>
      </c>
      <c r="J103" s="467" t="s">
        <v>9</v>
      </c>
      <c r="K103" s="466">
        <v>0</v>
      </c>
      <c r="L103" s="466">
        <v>0</v>
      </c>
      <c r="M103" s="466">
        <v>0</v>
      </c>
      <c r="N103" s="466">
        <v>0</v>
      </c>
      <c r="O103" s="466">
        <v>0</v>
      </c>
      <c r="P103" s="466">
        <v>0</v>
      </c>
      <c r="Q103" s="466">
        <v>0</v>
      </c>
      <c r="R103" s="466">
        <v>0</v>
      </c>
      <c r="S103" s="466">
        <v>0</v>
      </c>
      <c r="T103" s="466">
        <v>0</v>
      </c>
    </row>
    <row r="104" spans="1:20" s="420" customFormat="1" ht="29.25" customHeight="1">
      <c r="A104" s="496"/>
      <c r="B104" s="496"/>
      <c r="C104" s="496"/>
      <c r="D104" s="497"/>
      <c r="E104" s="498">
        <v>1</v>
      </c>
      <c r="F104" s="499">
        <v>5</v>
      </c>
      <c r="G104" s="500"/>
      <c r="H104" s="501" t="s">
        <v>17</v>
      </c>
      <c r="I104" s="447">
        <f t="shared" ref="I104:T104" si="33">SUM(I105:I108)</f>
        <v>20654228</v>
      </c>
      <c r="J104" s="447">
        <f t="shared" si="33"/>
        <v>0</v>
      </c>
      <c r="K104" s="447">
        <f t="shared" si="33"/>
        <v>8000000</v>
      </c>
      <c r="L104" s="447">
        <f t="shared" si="33"/>
        <v>3600000</v>
      </c>
      <c r="M104" s="447">
        <f t="shared" si="33"/>
        <v>0</v>
      </c>
      <c r="N104" s="447">
        <f t="shared" si="33"/>
        <v>0</v>
      </c>
      <c r="O104" s="447">
        <f t="shared" si="33"/>
        <v>0</v>
      </c>
      <c r="P104" s="447">
        <f t="shared" si="33"/>
        <v>0</v>
      </c>
      <c r="Q104" s="447">
        <f t="shared" si="33"/>
        <v>6654228</v>
      </c>
      <c r="R104" s="447">
        <f t="shared" si="33"/>
        <v>0</v>
      </c>
      <c r="S104" s="447">
        <f t="shared" si="33"/>
        <v>0</v>
      </c>
      <c r="T104" s="447">
        <f t="shared" si="33"/>
        <v>2400000</v>
      </c>
    </row>
    <row r="105" spans="1:20" s="468" customFormat="1" ht="26.25" customHeight="1">
      <c r="A105" s="462"/>
      <c r="B105" s="462"/>
      <c r="C105" s="462"/>
      <c r="D105" s="437"/>
      <c r="E105" s="493">
        <v>1</v>
      </c>
      <c r="F105" s="482">
        <v>5</v>
      </c>
      <c r="G105" s="494" t="s">
        <v>960</v>
      </c>
      <c r="H105" s="484" t="s">
        <v>107</v>
      </c>
      <c r="I105" s="466">
        <f>SUM(J105:T105)</f>
        <v>2500000</v>
      </c>
      <c r="J105" s="467" t="s">
        <v>9</v>
      </c>
      <c r="K105" s="466">
        <v>0</v>
      </c>
      <c r="L105" s="466">
        <v>0</v>
      </c>
      <c r="M105" s="466">
        <v>0</v>
      </c>
      <c r="N105" s="466">
        <v>0</v>
      </c>
      <c r="O105" s="466">
        <v>0</v>
      </c>
      <c r="P105" s="466">
        <v>0</v>
      </c>
      <c r="Q105" s="466">
        <v>2500000</v>
      </c>
      <c r="R105" s="466">
        <v>0</v>
      </c>
      <c r="S105" s="466">
        <v>0</v>
      </c>
      <c r="T105" s="466">
        <v>0</v>
      </c>
    </row>
    <row r="106" spans="1:20" s="468" customFormat="1" ht="26.25" customHeight="1">
      <c r="A106" s="462"/>
      <c r="B106" s="462"/>
      <c r="C106" s="462"/>
      <c r="D106" s="437"/>
      <c r="E106" s="493">
        <v>1</v>
      </c>
      <c r="F106" s="482">
        <v>5</v>
      </c>
      <c r="G106" s="494" t="s">
        <v>319</v>
      </c>
      <c r="H106" s="484" t="s">
        <v>1113</v>
      </c>
      <c r="I106" s="466">
        <f>SUM(J106:T106)</f>
        <v>4154228</v>
      </c>
      <c r="J106" s="467" t="s">
        <v>1051</v>
      </c>
      <c r="K106" s="466"/>
      <c r="L106" s="466"/>
      <c r="M106" s="466">
        <v>0</v>
      </c>
      <c r="N106" s="466">
        <v>0</v>
      </c>
      <c r="O106" s="466">
        <v>0</v>
      </c>
      <c r="P106" s="466">
        <v>0</v>
      </c>
      <c r="Q106" s="466">
        <f>5000000-845772</f>
        <v>4154228</v>
      </c>
      <c r="R106" s="466">
        <v>0</v>
      </c>
      <c r="S106" s="466">
        <v>0</v>
      </c>
      <c r="T106" s="466">
        <v>0</v>
      </c>
    </row>
    <row r="107" spans="1:20" s="468" customFormat="1" ht="26.25" customHeight="1">
      <c r="A107" s="462"/>
      <c r="B107" s="462"/>
      <c r="C107" s="462"/>
      <c r="D107" s="437"/>
      <c r="E107" s="493">
        <v>1</v>
      </c>
      <c r="F107" s="482">
        <v>5</v>
      </c>
      <c r="G107" s="494" t="s">
        <v>1037</v>
      </c>
      <c r="H107" s="484" t="s">
        <v>51</v>
      </c>
      <c r="I107" s="466">
        <f>SUM(J107:T107)</f>
        <v>14000000</v>
      </c>
      <c r="J107" s="467" t="s">
        <v>1115</v>
      </c>
      <c r="K107" s="466">
        <v>8000000</v>
      </c>
      <c r="L107" s="466">
        <v>3600000</v>
      </c>
      <c r="M107" s="466">
        <v>0</v>
      </c>
      <c r="N107" s="466">
        <v>0</v>
      </c>
      <c r="O107" s="466">
        <v>0</v>
      </c>
      <c r="P107" s="466">
        <v>0</v>
      </c>
      <c r="Q107" s="466"/>
      <c r="R107" s="466">
        <v>0</v>
      </c>
      <c r="S107" s="466">
        <v>0</v>
      </c>
      <c r="T107" s="466">
        <v>2400000</v>
      </c>
    </row>
    <row r="108" spans="1:20" s="468" customFormat="1" ht="27" customHeight="1">
      <c r="A108" s="462"/>
      <c r="B108" s="462"/>
      <c r="C108" s="462"/>
      <c r="D108" s="437"/>
      <c r="E108" s="493">
        <v>1</v>
      </c>
      <c r="F108" s="482">
        <v>5</v>
      </c>
      <c r="G108" s="494" t="s">
        <v>1030</v>
      </c>
      <c r="H108" s="495" t="s">
        <v>1052</v>
      </c>
      <c r="I108" s="466">
        <f>SUM(J108:T108)</f>
        <v>0</v>
      </c>
      <c r="J108" s="467" t="s">
        <v>9</v>
      </c>
      <c r="K108" s="466">
        <v>0</v>
      </c>
      <c r="L108" s="466">
        <v>0</v>
      </c>
      <c r="M108" s="466">
        <v>0</v>
      </c>
      <c r="N108" s="466">
        <v>0</v>
      </c>
      <c r="O108" s="466">
        <v>0</v>
      </c>
      <c r="P108" s="466">
        <v>0</v>
      </c>
      <c r="Q108" s="466">
        <v>0</v>
      </c>
      <c r="R108" s="466">
        <v>0</v>
      </c>
      <c r="S108" s="466">
        <v>0</v>
      </c>
      <c r="T108" s="466">
        <v>0</v>
      </c>
    </row>
    <row r="109" spans="1:20" s="420" customFormat="1" ht="27" customHeight="1">
      <c r="A109" s="450"/>
      <c r="B109" s="450"/>
      <c r="C109" s="450"/>
      <c r="D109" s="505"/>
      <c r="E109" s="451">
        <v>2</v>
      </c>
      <c r="F109" s="506"/>
      <c r="G109" s="506"/>
      <c r="H109" s="452" t="s">
        <v>115</v>
      </c>
      <c r="I109" s="453">
        <f t="shared" ref="I109:T109" si="34">I110+I115+I126+I133+I136+I139</f>
        <v>1466411500</v>
      </c>
      <c r="J109" s="453" t="e">
        <f t="shared" si="34"/>
        <v>#VALUE!</v>
      </c>
      <c r="K109" s="453">
        <f t="shared" si="34"/>
        <v>0</v>
      </c>
      <c r="L109" s="453">
        <f t="shared" si="34"/>
        <v>0</v>
      </c>
      <c r="M109" s="453">
        <f t="shared" si="34"/>
        <v>0</v>
      </c>
      <c r="N109" s="453">
        <f t="shared" si="34"/>
        <v>0</v>
      </c>
      <c r="O109" s="453">
        <f t="shared" si="34"/>
        <v>0</v>
      </c>
      <c r="P109" s="453">
        <f t="shared" si="34"/>
        <v>1094411500</v>
      </c>
      <c r="Q109" s="453">
        <f t="shared" si="34"/>
        <v>0</v>
      </c>
      <c r="R109" s="453">
        <f t="shared" si="34"/>
        <v>0</v>
      </c>
      <c r="S109" s="453">
        <f t="shared" si="34"/>
        <v>350000000</v>
      </c>
      <c r="T109" s="453">
        <f t="shared" si="34"/>
        <v>22000000</v>
      </c>
    </row>
    <row r="110" spans="1:20" s="420" customFormat="1" ht="29.25" customHeight="1">
      <c r="A110" s="496"/>
      <c r="B110" s="496"/>
      <c r="C110" s="496"/>
      <c r="D110" s="497"/>
      <c r="E110" s="444">
        <v>2</v>
      </c>
      <c r="F110" s="507">
        <v>1</v>
      </c>
      <c r="G110" s="507"/>
      <c r="H110" s="445" t="s">
        <v>20</v>
      </c>
      <c r="I110" s="447">
        <f>SUM(I111:I114)</f>
        <v>53000000</v>
      </c>
      <c r="J110" s="448" t="s">
        <v>21</v>
      </c>
      <c r="K110" s="447">
        <f t="shared" ref="K110:T110" si="35">SUM(K111:K114)</f>
        <v>0</v>
      </c>
      <c r="L110" s="447">
        <f t="shared" si="35"/>
        <v>0</v>
      </c>
      <c r="M110" s="447">
        <f t="shared" si="35"/>
        <v>0</v>
      </c>
      <c r="N110" s="447">
        <f t="shared" si="35"/>
        <v>0</v>
      </c>
      <c r="O110" s="447">
        <f t="shared" si="35"/>
        <v>0</v>
      </c>
      <c r="P110" s="447">
        <f t="shared" si="35"/>
        <v>53000000</v>
      </c>
      <c r="Q110" s="447">
        <f t="shared" si="35"/>
        <v>0</v>
      </c>
      <c r="R110" s="447">
        <f t="shared" si="35"/>
        <v>0</v>
      </c>
      <c r="S110" s="447">
        <f t="shared" si="35"/>
        <v>0</v>
      </c>
      <c r="T110" s="447">
        <f t="shared" si="35"/>
        <v>0</v>
      </c>
    </row>
    <row r="111" spans="1:20" s="468" customFormat="1" ht="51" customHeight="1">
      <c r="A111" s="462"/>
      <c r="B111" s="462"/>
      <c r="C111" s="462"/>
      <c r="D111" s="437"/>
      <c r="E111" s="481">
        <v>2</v>
      </c>
      <c r="F111" s="482">
        <v>1</v>
      </c>
      <c r="G111" s="482" t="s">
        <v>960</v>
      </c>
      <c r="H111" s="484" t="s">
        <v>916</v>
      </c>
      <c r="I111" s="466">
        <f>SUM(J111:T111)</f>
        <v>23300000</v>
      </c>
      <c r="J111" s="467" t="s">
        <v>21</v>
      </c>
      <c r="K111" s="466">
        <v>0</v>
      </c>
      <c r="L111" s="466">
        <v>0</v>
      </c>
      <c r="M111" s="466">
        <v>0</v>
      </c>
      <c r="N111" s="466">
        <v>0</v>
      </c>
      <c r="O111" s="466">
        <v>0</v>
      </c>
      <c r="P111" s="466">
        <v>23300000</v>
      </c>
      <c r="Q111" s="466">
        <v>0</v>
      </c>
      <c r="R111" s="466">
        <v>0</v>
      </c>
      <c r="S111" s="466">
        <v>0</v>
      </c>
      <c r="T111" s="466">
        <v>0</v>
      </c>
    </row>
    <row r="112" spans="1:20" s="468" customFormat="1" ht="51" customHeight="1">
      <c r="A112" s="462"/>
      <c r="B112" s="462"/>
      <c r="C112" s="462"/>
      <c r="D112" s="437"/>
      <c r="E112" s="481">
        <v>2</v>
      </c>
      <c r="F112" s="482">
        <v>1</v>
      </c>
      <c r="G112" s="482" t="s">
        <v>978</v>
      </c>
      <c r="H112" s="484" t="s">
        <v>917</v>
      </c>
      <c r="I112" s="466">
        <f>SUM(J112:T112)</f>
        <v>4700000</v>
      </c>
      <c r="J112" s="467" t="s">
        <v>21</v>
      </c>
      <c r="K112" s="466">
        <v>0</v>
      </c>
      <c r="L112" s="466">
        <v>0</v>
      </c>
      <c r="M112" s="466">
        <v>0</v>
      </c>
      <c r="N112" s="466">
        <v>0</v>
      </c>
      <c r="O112" s="466">
        <v>0</v>
      </c>
      <c r="P112" s="466">
        <v>4700000</v>
      </c>
      <c r="Q112" s="466">
        <v>0</v>
      </c>
      <c r="R112" s="466">
        <v>0</v>
      </c>
      <c r="S112" s="466">
        <v>0</v>
      </c>
      <c r="T112" s="466">
        <v>0</v>
      </c>
    </row>
    <row r="113" spans="1:20" s="468" customFormat="1" ht="51" customHeight="1">
      <c r="A113" s="462"/>
      <c r="B113" s="462"/>
      <c r="C113" s="462"/>
      <c r="D113" s="437"/>
      <c r="E113" s="481">
        <v>2</v>
      </c>
      <c r="F113" s="482">
        <v>1</v>
      </c>
      <c r="G113" s="482" t="s">
        <v>319</v>
      </c>
      <c r="H113" s="484" t="s">
        <v>122</v>
      </c>
      <c r="I113" s="466">
        <f>SUM(J113:T113)</f>
        <v>25000000</v>
      </c>
      <c r="J113" s="467" t="s">
        <v>21</v>
      </c>
      <c r="K113" s="466">
        <v>0</v>
      </c>
      <c r="L113" s="466">
        <v>0</v>
      </c>
      <c r="M113" s="466">
        <v>0</v>
      </c>
      <c r="N113" s="466">
        <v>0</v>
      </c>
      <c r="O113" s="466">
        <v>0</v>
      </c>
      <c r="P113" s="565">
        <v>25000000</v>
      </c>
      <c r="Q113" s="466">
        <v>0</v>
      </c>
      <c r="R113" s="466">
        <v>0</v>
      </c>
      <c r="S113" s="466">
        <v>0</v>
      </c>
      <c r="T113" s="466">
        <v>0</v>
      </c>
    </row>
    <row r="114" spans="1:20" s="468" customFormat="1" ht="29.25" customHeight="1">
      <c r="A114" s="462"/>
      <c r="B114" s="462"/>
      <c r="C114" s="462"/>
      <c r="D114" s="437">
        <v>5</v>
      </c>
      <c r="E114" s="481">
        <v>2</v>
      </c>
      <c r="F114" s="482">
        <v>1</v>
      </c>
      <c r="G114" s="482" t="s">
        <v>1030</v>
      </c>
      <c r="H114" s="484" t="s">
        <v>1053</v>
      </c>
      <c r="I114" s="466">
        <f>SUM(J114:T114)</f>
        <v>0</v>
      </c>
      <c r="J114" s="467" t="s">
        <v>21</v>
      </c>
      <c r="K114" s="466">
        <v>0</v>
      </c>
      <c r="L114" s="466">
        <v>0</v>
      </c>
      <c r="M114" s="466">
        <v>0</v>
      </c>
      <c r="N114" s="466">
        <v>0</v>
      </c>
      <c r="O114" s="466">
        <v>0</v>
      </c>
      <c r="P114" s="466">
        <v>0</v>
      </c>
      <c r="Q114" s="466">
        <v>0</v>
      </c>
      <c r="R114" s="466">
        <v>0</v>
      </c>
      <c r="S114" s="466">
        <v>0</v>
      </c>
      <c r="T114" s="466">
        <v>0</v>
      </c>
    </row>
    <row r="115" spans="1:20" s="420" customFormat="1" ht="29.25" customHeight="1">
      <c r="A115" s="496"/>
      <c r="B115" s="496"/>
      <c r="C115" s="496"/>
      <c r="D115" s="497"/>
      <c r="E115" s="508">
        <v>2</v>
      </c>
      <c r="F115" s="499">
        <v>2</v>
      </c>
      <c r="G115" s="499"/>
      <c r="H115" s="509" t="s">
        <v>22</v>
      </c>
      <c r="I115" s="447">
        <f>SUM(I116:I125)</f>
        <v>222160000</v>
      </c>
      <c r="J115" s="448" t="s">
        <v>21</v>
      </c>
      <c r="K115" s="447">
        <f t="shared" ref="K115:T115" si="36">SUM(K116:K125)</f>
        <v>0</v>
      </c>
      <c r="L115" s="447">
        <f t="shared" si="36"/>
        <v>0</v>
      </c>
      <c r="M115" s="447">
        <f t="shared" si="36"/>
        <v>0</v>
      </c>
      <c r="N115" s="447">
        <f t="shared" si="36"/>
        <v>0</v>
      </c>
      <c r="O115" s="447">
        <f t="shared" si="36"/>
        <v>0</v>
      </c>
      <c r="P115" s="447">
        <f t="shared" si="36"/>
        <v>222160000</v>
      </c>
      <c r="Q115" s="447">
        <f t="shared" si="36"/>
        <v>0</v>
      </c>
      <c r="R115" s="447">
        <f t="shared" si="36"/>
        <v>0</v>
      </c>
      <c r="S115" s="447">
        <f t="shared" si="36"/>
        <v>0</v>
      </c>
      <c r="T115" s="447">
        <f t="shared" si="36"/>
        <v>0</v>
      </c>
    </row>
    <row r="116" spans="1:20" s="468" customFormat="1" ht="41.25" customHeight="1">
      <c r="A116" s="462"/>
      <c r="B116" s="462"/>
      <c r="C116" s="462"/>
      <c r="D116" s="437"/>
      <c r="E116" s="481">
        <v>2</v>
      </c>
      <c r="F116" s="482">
        <v>2</v>
      </c>
      <c r="G116" s="482" t="s">
        <v>966</v>
      </c>
      <c r="H116" s="484" t="s">
        <v>23</v>
      </c>
      <c r="I116" s="466">
        <f>SUM(J116:T116)</f>
        <v>68560000</v>
      </c>
      <c r="J116" s="467" t="s">
        <v>21</v>
      </c>
      <c r="K116" s="466">
        <v>0</v>
      </c>
      <c r="L116" s="466">
        <v>0</v>
      </c>
      <c r="M116" s="466">
        <v>0</v>
      </c>
      <c r="N116" s="466">
        <v>0</v>
      </c>
      <c r="O116" s="466">
        <v>0</v>
      </c>
      <c r="P116" s="466">
        <v>68560000</v>
      </c>
      <c r="Q116" s="466">
        <v>0</v>
      </c>
      <c r="R116" s="466">
        <v>0</v>
      </c>
      <c r="S116" s="466">
        <v>0</v>
      </c>
      <c r="T116" s="466">
        <v>0</v>
      </c>
    </row>
    <row r="117" spans="1:20" s="468" customFormat="1" ht="42" customHeight="1">
      <c r="A117" s="462"/>
      <c r="B117" s="462"/>
      <c r="C117" s="462"/>
      <c r="D117" s="437"/>
      <c r="E117" s="481">
        <v>2</v>
      </c>
      <c r="F117" s="482">
        <v>2</v>
      </c>
      <c r="G117" s="482" t="s">
        <v>968</v>
      </c>
      <c r="H117" s="484" t="s">
        <v>313</v>
      </c>
      <c r="I117" s="466">
        <f t="shared" ref="I117:I125" si="37">SUM(J117:T117)</f>
        <v>6000000</v>
      </c>
      <c r="J117" s="467" t="s">
        <v>21</v>
      </c>
      <c r="K117" s="466">
        <v>0</v>
      </c>
      <c r="L117" s="466">
        <v>0</v>
      </c>
      <c r="M117" s="466">
        <v>0</v>
      </c>
      <c r="N117" s="466">
        <v>0</v>
      </c>
      <c r="O117" s="466">
        <v>0</v>
      </c>
      <c r="P117" s="466">
        <v>6000000</v>
      </c>
      <c r="Q117" s="466">
        <v>0</v>
      </c>
      <c r="R117" s="466">
        <v>0</v>
      </c>
      <c r="S117" s="466">
        <v>0</v>
      </c>
      <c r="T117" s="466">
        <v>0</v>
      </c>
    </row>
    <row r="118" spans="1:20" s="468" customFormat="1" ht="29.25" customHeight="1">
      <c r="A118" s="462"/>
      <c r="B118" s="462"/>
      <c r="C118" s="462"/>
      <c r="D118" s="437"/>
      <c r="E118" s="481">
        <v>2</v>
      </c>
      <c r="F118" s="482">
        <v>2</v>
      </c>
      <c r="G118" s="482" t="s">
        <v>970</v>
      </c>
      <c r="H118" s="495" t="s">
        <v>24</v>
      </c>
      <c r="I118" s="466">
        <f t="shared" si="37"/>
        <v>15000000</v>
      </c>
      <c r="J118" s="467" t="s">
        <v>21</v>
      </c>
      <c r="K118" s="466">
        <v>0</v>
      </c>
      <c r="L118" s="466">
        <v>0</v>
      </c>
      <c r="M118" s="466">
        <v>0</v>
      </c>
      <c r="N118" s="466">
        <v>0</v>
      </c>
      <c r="O118" s="466">
        <v>0</v>
      </c>
      <c r="P118" s="466">
        <v>15000000</v>
      </c>
      <c r="Q118" s="466">
        <v>0</v>
      </c>
      <c r="R118" s="466">
        <v>0</v>
      </c>
      <c r="S118" s="466">
        <v>0</v>
      </c>
      <c r="T118" s="466">
        <v>0</v>
      </c>
    </row>
    <row r="119" spans="1:20" s="468" customFormat="1" ht="29.25" customHeight="1">
      <c r="A119" s="462"/>
      <c r="B119" s="462"/>
      <c r="C119" s="462"/>
      <c r="D119" s="437"/>
      <c r="E119" s="481">
        <v>2</v>
      </c>
      <c r="F119" s="482">
        <v>2</v>
      </c>
      <c r="G119" s="482" t="s">
        <v>974</v>
      </c>
      <c r="H119" s="495" t="s">
        <v>128</v>
      </c>
      <c r="I119" s="466">
        <f t="shared" ref="I119" si="38">SUM(J119:T119)</f>
        <v>3500000</v>
      </c>
      <c r="J119" s="467" t="s">
        <v>21</v>
      </c>
      <c r="K119" s="466">
        <v>0</v>
      </c>
      <c r="L119" s="466">
        <v>0</v>
      </c>
      <c r="M119" s="466">
        <v>0</v>
      </c>
      <c r="N119" s="466">
        <v>0</v>
      </c>
      <c r="O119" s="466">
        <v>0</v>
      </c>
      <c r="P119" s="466">
        <v>3500000</v>
      </c>
      <c r="Q119" s="466">
        <v>0</v>
      </c>
      <c r="R119" s="466">
        <v>0</v>
      </c>
      <c r="S119" s="466">
        <v>0</v>
      </c>
      <c r="T119" s="466">
        <v>0</v>
      </c>
    </row>
    <row r="120" spans="1:20" s="468" customFormat="1" ht="41.25" customHeight="1">
      <c r="A120" s="462"/>
      <c r="B120" s="462"/>
      <c r="C120" s="462"/>
      <c r="D120" s="437"/>
      <c r="E120" s="481">
        <v>2</v>
      </c>
      <c r="F120" s="482">
        <v>2</v>
      </c>
      <c r="G120" s="482" t="s">
        <v>1054</v>
      </c>
      <c r="H120" s="484" t="s">
        <v>130</v>
      </c>
      <c r="I120" s="466">
        <f>SUM(J120:T120)</f>
        <v>14000000</v>
      </c>
      <c r="J120" s="467" t="s">
        <v>21</v>
      </c>
      <c r="K120" s="466">
        <v>0</v>
      </c>
      <c r="L120" s="466">
        <v>0</v>
      </c>
      <c r="M120" s="466">
        <v>0</v>
      </c>
      <c r="N120" s="466">
        <v>0</v>
      </c>
      <c r="O120" s="466">
        <v>0</v>
      </c>
      <c r="P120" s="466">
        <v>14000000</v>
      </c>
      <c r="Q120" s="466">
        <v>0</v>
      </c>
      <c r="R120" s="466">
        <v>0</v>
      </c>
      <c r="S120" s="466">
        <v>0</v>
      </c>
      <c r="T120" s="466">
        <v>0</v>
      </c>
    </row>
    <row r="121" spans="1:20" s="468" customFormat="1" ht="29.25" customHeight="1">
      <c r="A121" s="462"/>
      <c r="B121" s="462"/>
      <c r="C121" s="462"/>
      <c r="D121" s="437"/>
      <c r="E121" s="481">
        <v>2</v>
      </c>
      <c r="F121" s="482">
        <v>2</v>
      </c>
      <c r="G121" s="482" t="s">
        <v>319</v>
      </c>
      <c r="H121" s="495" t="s">
        <v>131</v>
      </c>
      <c r="I121" s="466">
        <f t="shared" si="37"/>
        <v>3500000</v>
      </c>
      <c r="J121" s="467" t="s">
        <v>21</v>
      </c>
      <c r="K121" s="466">
        <v>0</v>
      </c>
      <c r="L121" s="466">
        <v>0</v>
      </c>
      <c r="M121" s="466">
        <v>0</v>
      </c>
      <c r="N121" s="466">
        <v>0</v>
      </c>
      <c r="O121" s="466">
        <v>0</v>
      </c>
      <c r="P121" s="466">
        <v>3500000</v>
      </c>
      <c r="Q121" s="466">
        <v>0</v>
      </c>
      <c r="R121" s="466">
        <v>0</v>
      </c>
      <c r="S121" s="466">
        <v>0</v>
      </c>
      <c r="T121" s="466">
        <v>0</v>
      </c>
    </row>
    <row r="122" spans="1:20" s="468" customFormat="1" ht="29.25" customHeight="1">
      <c r="A122" s="462"/>
      <c r="B122" s="462"/>
      <c r="C122" s="462"/>
      <c r="D122" s="437"/>
      <c r="E122" s="481">
        <v>2</v>
      </c>
      <c r="F122" s="482">
        <v>2</v>
      </c>
      <c r="G122" s="482" t="s">
        <v>1042</v>
      </c>
      <c r="H122" s="495" t="s">
        <v>132</v>
      </c>
      <c r="I122" s="466">
        <f t="shared" si="37"/>
        <v>27000000</v>
      </c>
      <c r="J122" s="467" t="s">
        <v>21</v>
      </c>
      <c r="K122" s="466"/>
      <c r="L122" s="466"/>
      <c r="M122" s="466"/>
      <c r="N122" s="466"/>
      <c r="O122" s="466"/>
      <c r="P122" s="466">
        <f>2250000*12</f>
        <v>27000000</v>
      </c>
      <c r="Q122" s="466"/>
      <c r="R122" s="466"/>
      <c r="S122" s="466"/>
      <c r="T122" s="466"/>
    </row>
    <row r="123" spans="1:20" s="468" customFormat="1" ht="29.25" customHeight="1">
      <c r="A123" s="462"/>
      <c r="B123" s="462"/>
      <c r="C123" s="462"/>
      <c r="D123" s="437"/>
      <c r="E123" s="481">
        <v>2</v>
      </c>
      <c r="F123" s="482">
        <v>2</v>
      </c>
      <c r="G123" s="482" t="s">
        <v>1037</v>
      </c>
      <c r="H123" s="495" t="s">
        <v>57</v>
      </c>
      <c r="I123" s="466">
        <f>SUM(J123:T123)</f>
        <v>14040000</v>
      </c>
      <c r="J123" s="467" t="s">
        <v>21</v>
      </c>
      <c r="K123" s="466">
        <v>0</v>
      </c>
      <c r="L123" s="466">
        <v>0</v>
      </c>
      <c r="M123" s="466">
        <v>0</v>
      </c>
      <c r="N123" s="466">
        <v>0</v>
      </c>
      <c r="O123" s="466">
        <v>0</v>
      </c>
      <c r="P123" s="466">
        <v>14040000</v>
      </c>
      <c r="Q123" s="466">
        <v>0</v>
      </c>
      <c r="R123" s="466">
        <v>0</v>
      </c>
      <c r="S123" s="466">
        <v>0</v>
      </c>
      <c r="T123" s="466">
        <v>0</v>
      </c>
    </row>
    <row r="124" spans="1:20" s="468" customFormat="1" ht="29.25" customHeight="1">
      <c r="A124" s="462"/>
      <c r="B124" s="462"/>
      <c r="C124" s="462"/>
      <c r="D124" s="437"/>
      <c r="E124" s="481">
        <v>2</v>
      </c>
      <c r="F124" s="482">
        <v>2</v>
      </c>
      <c r="G124" s="482" t="s">
        <v>1055</v>
      </c>
      <c r="H124" s="495" t="s">
        <v>137</v>
      </c>
      <c r="I124" s="466">
        <f>SUM(J124:T124)</f>
        <v>70560000</v>
      </c>
      <c r="J124" s="467" t="s">
        <v>21</v>
      </c>
      <c r="K124" s="466"/>
      <c r="L124" s="466"/>
      <c r="M124" s="466"/>
      <c r="N124" s="466"/>
      <c r="O124" s="466"/>
      <c r="P124" s="466">
        <v>70560000</v>
      </c>
      <c r="Q124" s="466"/>
      <c r="R124" s="466"/>
      <c r="S124" s="466"/>
      <c r="T124" s="466"/>
    </row>
    <row r="125" spans="1:20" s="468" customFormat="1" ht="29.25" customHeight="1">
      <c r="A125" s="462"/>
      <c r="B125" s="462"/>
      <c r="C125" s="462"/>
      <c r="D125" s="437"/>
      <c r="E125" s="481">
        <v>2</v>
      </c>
      <c r="F125" s="482">
        <v>2</v>
      </c>
      <c r="G125" s="510" t="s">
        <v>1030</v>
      </c>
      <c r="H125" s="495" t="s">
        <v>1056</v>
      </c>
      <c r="I125" s="466">
        <f t="shared" si="37"/>
        <v>0</v>
      </c>
      <c r="J125" s="467" t="s">
        <v>21</v>
      </c>
      <c r="K125" s="466">
        <v>0</v>
      </c>
      <c r="L125" s="466">
        <v>0</v>
      </c>
      <c r="M125" s="466">
        <v>0</v>
      </c>
      <c r="N125" s="466">
        <v>0</v>
      </c>
      <c r="O125" s="466">
        <v>0</v>
      </c>
      <c r="P125" s="466">
        <v>0</v>
      </c>
      <c r="Q125" s="466">
        <v>0</v>
      </c>
      <c r="R125" s="466">
        <v>0</v>
      </c>
      <c r="S125" s="466">
        <v>0</v>
      </c>
      <c r="T125" s="466">
        <v>0</v>
      </c>
    </row>
    <row r="126" spans="1:20" s="420" customFormat="1" ht="39.75" customHeight="1">
      <c r="A126" s="496"/>
      <c r="B126" s="496"/>
      <c r="C126" s="496"/>
      <c r="D126" s="497"/>
      <c r="E126" s="508">
        <v>2</v>
      </c>
      <c r="F126" s="499">
        <v>3</v>
      </c>
      <c r="G126" s="507"/>
      <c r="H126" s="509" t="s">
        <v>25</v>
      </c>
      <c r="I126" s="447">
        <f>SUM(I127:I132)</f>
        <v>1074201500</v>
      </c>
      <c r="J126" s="448" t="s">
        <v>1057</v>
      </c>
      <c r="K126" s="447">
        <f t="shared" ref="K126:T126" si="39">SUM(K127:K132)</f>
        <v>0</v>
      </c>
      <c r="L126" s="447">
        <f t="shared" si="39"/>
        <v>0</v>
      </c>
      <c r="M126" s="447">
        <f t="shared" si="39"/>
        <v>0</v>
      </c>
      <c r="N126" s="447">
        <f t="shared" si="39"/>
        <v>0</v>
      </c>
      <c r="O126" s="447">
        <f t="shared" si="39"/>
        <v>0</v>
      </c>
      <c r="P126" s="447">
        <f t="shared" si="39"/>
        <v>702201500</v>
      </c>
      <c r="Q126" s="447">
        <f t="shared" si="39"/>
        <v>0</v>
      </c>
      <c r="R126" s="447">
        <f t="shared" si="39"/>
        <v>0</v>
      </c>
      <c r="S126" s="447">
        <f t="shared" si="39"/>
        <v>350000000</v>
      </c>
      <c r="T126" s="447">
        <f t="shared" si="39"/>
        <v>22000000</v>
      </c>
    </row>
    <row r="127" spans="1:20" s="468" customFormat="1" ht="38.25" customHeight="1">
      <c r="A127" s="462"/>
      <c r="B127" s="462"/>
      <c r="C127" s="462"/>
      <c r="D127" s="437"/>
      <c r="E127" s="481">
        <v>2</v>
      </c>
      <c r="F127" s="482">
        <v>3</v>
      </c>
      <c r="G127" s="482" t="s">
        <v>1058</v>
      </c>
      <c r="H127" s="483" t="s">
        <v>918</v>
      </c>
      <c r="I127" s="466">
        <f t="shared" ref="I127:I132" si="40">SUM(J127:T127)</f>
        <v>534201500</v>
      </c>
      <c r="J127" s="467" t="s">
        <v>1057</v>
      </c>
      <c r="K127" s="466">
        <v>0</v>
      </c>
      <c r="L127" s="466">
        <v>0</v>
      </c>
      <c r="M127" s="466">
        <v>0</v>
      </c>
      <c r="N127" s="466">
        <v>0</v>
      </c>
      <c r="O127" s="466">
        <v>0</v>
      </c>
      <c r="P127" s="565">
        <f>400000000+22201500-5000000-200000000</f>
        <v>217201500</v>
      </c>
      <c r="Q127" s="466">
        <v>0</v>
      </c>
      <c r="R127" s="466">
        <v>0</v>
      </c>
      <c r="S127" s="466">
        <v>295000000</v>
      </c>
      <c r="T127" s="466">
        <f>42000000+40000000-40000000-20000000</f>
        <v>22000000</v>
      </c>
    </row>
    <row r="128" spans="1:20" s="468" customFormat="1" ht="39.75" customHeight="1">
      <c r="A128" s="462"/>
      <c r="B128" s="462"/>
      <c r="C128" s="462"/>
      <c r="D128" s="437"/>
      <c r="E128" s="481">
        <v>2</v>
      </c>
      <c r="F128" s="482">
        <v>3</v>
      </c>
      <c r="G128" s="482" t="s">
        <v>1059</v>
      </c>
      <c r="H128" s="484" t="s">
        <v>920</v>
      </c>
      <c r="I128" s="466">
        <f t="shared" si="40"/>
        <v>140000000</v>
      </c>
      <c r="J128" s="467" t="s">
        <v>21</v>
      </c>
      <c r="K128" s="466">
        <v>0</v>
      </c>
      <c r="L128" s="466">
        <v>0</v>
      </c>
      <c r="M128" s="466">
        <v>0</v>
      </c>
      <c r="N128" s="466">
        <v>0</v>
      </c>
      <c r="O128" s="466">
        <v>0</v>
      </c>
      <c r="P128" s="565">
        <f>14*10000000</f>
        <v>140000000</v>
      </c>
      <c r="Q128" s="466">
        <v>0</v>
      </c>
      <c r="R128" s="466">
        <v>0</v>
      </c>
      <c r="S128" s="466">
        <v>0</v>
      </c>
      <c r="T128" s="466">
        <v>0</v>
      </c>
    </row>
    <row r="129" spans="1:20" s="468" customFormat="1" ht="43.5" customHeight="1">
      <c r="A129" s="462"/>
      <c r="B129" s="462"/>
      <c r="C129" s="462"/>
      <c r="D129" s="437"/>
      <c r="E129" s="481">
        <v>2</v>
      </c>
      <c r="F129" s="482">
        <v>3</v>
      </c>
      <c r="G129" s="482">
        <v>12</v>
      </c>
      <c r="H129" s="484" t="s">
        <v>142</v>
      </c>
      <c r="I129" s="466">
        <f t="shared" si="40"/>
        <v>175000000</v>
      </c>
      <c r="J129" s="467" t="s">
        <v>21</v>
      </c>
      <c r="K129" s="466">
        <v>0</v>
      </c>
      <c r="L129" s="466">
        <v>0</v>
      </c>
      <c r="M129" s="466">
        <v>0</v>
      </c>
      <c r="N129" s="466">
        <v>0</v>
      </c>
      <c r="O129" s="466">
        <v>0</v>
      </c>
      <c r="P129" s="565">
        <v>175000000</v>
      </c>
      <c r="Q129" s="466">
        <v>0</v>
      </c>
      <c r="R129" s="466">
        <v>0</v>
      </c>
      <c r="S129" s="466">
        <v>0</v>
      </c>
      <c r="T129" s="466">
        <v>0</v>
      </c>
    </row>
    <row r="130" spans="1:20" s="468" customFormat="1" ht="43.5" customHeight="1">
      <c r="A130" s="462"/>
      <c r="B130" s="462"/>
      <c r="C130" s="462"/>
      <c r="D130" s="437"/>
      <c r="E130" s="481">
        <v>2</v>
      </c>
      <c r="F130" s="482">
        <v>3</v>
      </c>
      <c r="G130" s="482" t="s">
        <v>1060</v>
      </c>
      <c r="H130" s="484" t="s">
        <v>921</v>
      </c>
      <c r="I130" s="466">
        <f t="shared" si="40"/>
        <v>170000000</v>
      </c>
      <c r="J130" s="467" t="s">
        <v>21</v>
      </c>
      <c r="K130" s="466">
        <v>0</v>
      </c>
      <c r="L130" s="466">
        <v>0</v>
      </c>
      <c r="M130" s="466">
        <v>0</v>
      </c>
      <c r="N130" s="466">
        <v>0</v>
      </c>
      <c r="O130" s="466">
        <v>0</v>
      </c>
      <c r="P130" s="565">
        <f>150000000+20000000</f>
        <v>170000000</v>
      </c>
      <c r="Q130" s="466">
        <v>0</v>
      </c>
      <c r="R130" s="466">
        <v>0</v>
      </c>
      <c r="S130" s="466">
        <v>0</v>
      </c>
      <c r="T130" s="466">
        <v>0</v>
      </c>
    </row>
    <row r="131" spans="1:20" s="468" customFormat="1" ht="43.5" customHeight="1">
      <c r="A131" s="462"/>
      <c r="B131" s="462"/>
      <c r="C131" s="462"/>
      <c r="D131" s="437"/>
      <c r="E131" s="481">
        <v>2</v>
      </c>
      <c r="F131" s="482">
        <v>3</v>
      </c>
      <c r="G131" s="482" t="s">
        <v>1061</v>
      </c>
      <c r="H131" s="484" t="s">
        <v>1062</v>
      </c>
      <c r="I131" s="466">
        <f t="shared" si="40"/>
        <v>55000000</v>
      </c>
      <c r="J131" s="467" t="s">
        <v>21</v>
      </c>
      <c r="K131" s="466">
        <v>0</v>
      </c>
      <c r="L131" s="466">
        <v>0</v>
      </c>
      <c r="M131" s="466">
        <v>0</v>
      </c>
      <c r="N131" s="466">
        <v>0</v>
      </c>
      <c r="O131" s="466">
        <v>0</v>
      </c>
      <c r="P131" s="466"/>
      <c r="Q131" s="466">
        <v>0</v>
      </c>
      <c r="R131" s="466">
        <v>0</v>
      </c>
      <c r="S131" s="466">
        <f>85000000-30000000</f>
        <v>55000000</v>
      </c>
      <c r="T131" s="466">
        <v>0</v>
      </c>
    </row>
    <row r="132" spans="1:20" s="475" customFormat="1" ht="27" customHeight="1">
      <c r="A132" s="469"/>
      <c r="B132" s="469"/>
      <c r="C132" s="469"/>
      <c r="D132" s="502"/>
      <c r="E132" s="511">
        <v>2</v>
      </c>
      <c r="F132" s="503">
        <v>3</v>
      </c>
      <c r="G132" s="503" t="s">
        <v>1030</v>
      </c>
      <c r="H132" s="512" t="s">
        <v>1063</v>
      </c>
      <c r="I132" s="466">
        <f t="shared" si="40"/>
        <v>0</v>
      </c>
      <c r="J132" s="467" t="s">
        <v>21</v>
      </c>
      <c r="K132" s="473">
        <v>0</v>
      </c>
      <c r="L132" s="473">
        <v>0</v>
      </c>
      <c r="M132" s="473">
        <v>0</v>
      </c>
      <c r="N132" s="473">
        <v>0</v>
      </c>
      <c r="O132" s="473">
        <v>0</v>
      </c>
      <c r="P132" s="473">
        <v>0</v>
      </c>
      <c r="Q132" s="473">
        <v>0</v>
      </c>
      <c r="R132" s="473">
        <v>0</v>
      </c>
      <c r="S132" s="473">
        <v>0</v>
      </c>
      <c r="T132" s="473">
        <v>0</v>
      </c>
    </row>
    <row r="133" spans="1:20" s="420" customFormat="1" ht="32.25" customHeight="1">
      <c r="A133" s="496"/>
      <c r="B133" s="496"/>
      <c r="C133" s="496"/>
      <c r="D133" s="497"/>
      <c r="E133" s="508">
        <v>2</v>
      </c>
      <c r="F133" s="499">
        <v>4</v>
      </c>
      <c r="G133" s="499"/>
      <c r="H133" s="509" t="s">
        <v>1064</v>
      </c>
      <c r="I133" s="447">
        <f>SUM(I134:I135)</f>
        <v>104000000</v>
      </c>
      <c r="J133" s="448" t="s">
        <v>21</v>
      </c>
      <c r="K133" s="447">
        <f>SUM(K134:K135)</f>
        <v>0</v>
      </c>
      <c r="L133" s="447">
        <f t="shared" ref="L133:S133" si="41">SUM(L134:L135)</f>
        <v>0</v>
      </c>
      <c r="M133" s="447">
        <f t="shared" si="41"/>
        <v>0</v>
      </c>
      <c r="N133" s="447">
        <f t="shared" si="41"/>
        <v>0</v>
      </c>
      <c r="O133" s="447">
        <f t="shared" si="41"/>
        <v>0</v>
      </c>
      <c r="P133" s="447">
        <f t="shared" si="41"/>
        <v>104000000</v>
      </c>
      <c r="Q133" s="447">
        <f t="shared" si="41"/>
        <v>0</v>
      </c>
      <c r="R133" s="447">
        <f t="shared" si="41"/>
        <v>0</v>
      </c>
      <c r="S133" s="447">
        <f t="shared" si="41"/>
        <v>0</v>
      </c>
      <c r="T133" s="447">
        <f t="shared" ref="T133" si="42">SUM(T135:T135)</f>
        <v>0</v>
      </c>
    </row>
    <row r="134" spans="1:20" s="423" customFormat="1" ht="36" customHeight="1">
      <c r="A134" s="427"/>
      <c r="B134" s="427"/>
      <c r="C134" s="427"/>
      <c r="D134" s="437"/>
      <c r="E134" s="481">
        <v>2</v>
      </c>
      <c r="F134" s="482">
        <v>4</v>
      </c>
      <c r="G134" s="510">
        <v>1</v>
      </c>
      <c r="H134" s="513" t="s">
        <v>150</v>
      </c>
      <c r="I134" s="466">
        <f>SUM(J134:T134)</f>
        <v>30000000</v>
      </c>
      <c r="J134" s="467" t="s">
        <v>21</v>
      </c>
      <c r="K134" s="440">
        <v>0</v>
      </c>
      <c r="L134" s="440">
        <v>0</v>
      </c>
      <c r="M134" s="440">
        <v>0</v>
      </c>
      <c r="N134" s="440">
        <v>0</v>
      </c>
      <c r="O134" s="440">
        <v>0</v>
      </c>
      <c r="P134" s="566">
        <v>30000000</v>
      </c>
      <c r="Q134" s="440">
        <v>0</v>
      </c>
      <c r="R134" s="440">
        <v>0</v>
      </c>
      <c r="S134" s="440">
        <v>0</v>
      </c>
      <c r="T134" s="440">
        <v>0</v>
      </c>
    </row>
    <row r="135" spans="1:20" s="423" customFormat="1" ht="36" customHeight="1">
      <c r="A135" s="427"/>
      <c r="B135" s="427"/>
      <c r="C135" s="427"/>
      <c r="D135" s="437"/>
      <c r="E135" s="481">
        <v>2</v>
      </c>
      <c r="F135" s="482">
        <v>4</v>
      </c>
      <c r="G135" s="510" t="s">
        <v>1042</v>
      </c>
      <c r="H135" s="513" t="s">
        <v>1065</v>
      </c>
      <c r="I135" s="466">
        <f>SUM(J135:T135)</f>
        <v>74000000</v>
      </c>
      <c r="J135" s="467" t="s">
        <v>21</v>
      </c>
      <c r="K135" s="440">
        <v>0</v>
      </c>
      <c r="L135" s="440">
        <v>0</v>
      </c>
      <c r="M135" s="440">
        <v>0</v>
      </c>
      <c r="N135" s="440">
        <v>0</v>
      </c>
      <c r="O135" s="440">
        <v>0</v>
      </c>
      <c r="P135" s="440">
        <v>74000000</v>
      </c>
      <c r="Q135" s="440">
        <v>0</v>
      </c>
      <c r="R135" s="440">
        <v>0</v>
      </c>
      <c r="S135" s="440">
        <v>0</v>
      </c>
      <c r="T135" s="440">
        <v>0</v>
      </c>
    </row>
    <row r="136" spans="1:20" s="517" customFormat="1" ht="27.95" customHeight="1">
      <c r="A136" s="514"/>
      <c r="B136" s="514"/>
      <c r="C136" s="514"/>
      <c r="D136" s="444"/>
      <c r="E136" s="444">
        <v>2</v>
      </c>
      <c r="F136" s="507">
        <v>6</v>
      </c>
      <c r="G136" s="499"/>
      <c r="H136" s="515" t="s">
        <v>1066</v>
      </c>
      <c r="I136" s="516">
        <f>SUM(I137:I138)</f>
        <v>8050000</v>
      </c>
      <c r="J136" s="448" t="s">
        <v>21</v>
      </c>
      <c r="K136" s="516">
        <f t="shared" ref="K136:T136" si="43">SUM(K137:K138)</f>
        <v>0</v>
      </c>
      <c r="L136" s="516">
        <f t="shared" si="43"/>
        <v>0</v>
      </c>
      <c r="M136" s="516">
        <f t="shared" si="43"/>
        <v>0</v>
      </c>
      <c r="N136" s="516">
        <f t="shared" si="43"/>
        <v>0</v>
      </c>
      <c r="O136" s="516">
        <f t="shared" si="43"/>
        <v>0</v>
      </c>
      <c r="P136" s="516">
        <f t="shared" si="43"/>
        <v>8050000</v>
      </c>
      <c r="Q136" s="516">
        <f t="shared" si="43"/>
        <v>0</v>
      </c>
      <c r="R136" s="516">
        <f t="shared" si="43"/>
        <v>0</v>
      </c>
      <c r="S136" s="516">
        <f t="shared" si="43"/>
        <v>0</v>
      </c>
      <c r="T136" s="516">
        <f t="shared" si="43"/>
        <v>0</v>
      </c>
    </row>
    <row r="137" spans="1:20" s="522" customFormat="1" ht="53.25" customHeight="1">
      <c r="A137" s="518"/>
      <c r="B137" s="518"/>
      <c r="C137" s="518"/>
      <c r="D137" s="437"/>
      <c r="E137" s="437">
        <v>2</v>
      </c>
      <c r="F137" s="519">
        <v>6</v>
      </c>
      <c r="G137" s="510" t="s">
        <v>966</v>
      </c>
      <c r="H137" s="484" t="s">
        <v>28</v>
      </c>
      <c r="I137" s="520">
        <f>SUM(J137:T137)</f>
        <v>8050000</v>
      </c>
      <c r="J137" s="467" t="s">
        <v>21</v>
      </c>
      <c r="K137" s="521">
        <v>0</v>
      </c>
      <c r="L137" s="521">
        <v>0</v>
      </c>
      <c r="M137" s="521">
        <v>0</v>
      </c>
      <c r="N137" s="521">
        <v>0</v>
      </c>
      <c r="O137" s="521">
        <v>0</v>
      </c>
      <c r="P137" s="521">
        <v>8050000</v>
      </c>
      <c r="Q137" s="521">
        <v>0</v>
      </c>
      <c r="R137" s="521">
        <v>0</v>
      </c>
      <c r="S137" s="521">
        <v>0</v>
      </c>
      <c r="T137" s="521">
        <v>0</v>
      </c>
    </row>
    <row r="138" spans="1:20" s="522" customFormat="1" ht="27.95" customHeight="1">
      <c r="A138" s="518"/>
      <c r="B138" s="518"/>
      <c r="C138" s="518"/>
      <c r="D138" s="437"/>
      <c r="E138" s="437">
        <v>2</v>
      </c>
      <c r="F138" s="519">
        <v>6</v>
      </c>
      <c r="G138" s="510" t="s">
        <v>1030</v>
      </c>
      <c r="H138" s="495" t="s">
        <v>1067</v>
      </c>
      <c r="I138" s="520">
        <f>SUM(J138:T138)</f>
        <v>0</v>
      </c>
      <c r="J138" s="467"/>
      <c r="K138" s="523">
        <v>0</v>
      </c>
      <c r="L138" s="523">
        <v>0</v>
      </c>
      <c r="M138" s="523">
        <v>0</v>
      </c>
      <c r="N138" s="523">
        <v>0</v>
      </c>
      <c r="O138" s="523">
        <v>0</v>
      </c>
      <c r="P138" s="523">
        <v>0</v>
      </c>
      <c r="Q138" s="523">
        <v>0</v>
      </c>
      <c r="R138" s="523">
        <v>0</v>
      </c>
      <c r="S138" s="523">
        <v>0</v>
      </c>
      <c r="T138" s="523">
        <v>0</v>
      </c>
    </row>
    <row r="139" spans="1:20" s="420" customFormat="1" ht="27" customHeight="1">
      <c r="A139" s="496"/>
      <c r="B139" s="496"/>
      <c r="C139" s="496"/>
      <c r="D139" s="444"/>
      <c r="E139" s="444">
        <v>2</v>
      </c>
      <c r="F139" s="507">
        <v>8</v>
      </c>
      <c r="G139" s="499"/>
      <c r="H139" s="515" t="s">
        <v>29</v>
      </c>
      <c r="I139" s="447">
        <f>SUM(I140:I141)</f>
        <v>5000000</v>
      </c>
      <c r="J139" s="448" t="s">
        <v>21</v>
      </c>
      <c r="K139" s="447">
        <f t="shared" ref="K139:T139" si="44">SUM(K140:K141)</f>
        <v>0</v>
      </c>
      <c r="L139" s="447">
        <f t="shared" si="44"/>
        <v>0</v>
      </c>
      <c r="M139" s="447">
        <f t="shared" si="44"/>
        <v>0</v>
      </c>
      <c r="N139" s="447">
        <f t="shared" si="44"/>
        <v>0</v>
      </c>
      <c r="O139" s="447">
        <f t="shared" si="44"/>
        <v>0</v>
      </c>
      <c r="P139" s="447">
        <f t="shared" si="44"/>
        <v>5000000</v>
      </c>
      <c r="Q139" s="447">
        <f t="shared" si="44"/>
        <v>0</v>
      </c>
      <c r="R139" s="447">
        <f t="shared" si="44"/>
        <v>0</v>
      </c>
      <c r="S139" s="447">
        <f t="shared" si="44"/>
        <v>0</v>
      </c>
      <c r="T139" s="447">
        <f t="shared" si="44"/>
        <v>0</v>
      </c>
    </row>
    <row r="140" spans="1:20" s="423" customFormat="1" ht="42" customHeight="1">
      <c r="A140" s="427"/>
      <c r="B140" s="427"/>
      <c r="C140" s="427"/>
      <c r="D140" s="437"/>
      <c r="E140" s="437">
        <v>2</v>
      </c>
      <c r="F140" s="519">
        <v>8</v>
      </c>
      <c r="G140" s="510" t="s">
        <v>925</v>
      </c>
      <c r="H140" s="483" t="s">
        <v>161</v>
      </c>
      <c r="I140" s="440">
        <f>SUM(J140:T140)</f>
        <v>5000000</v>
      </c>
      <c r="J140" s="467" t="s">
        <v>914</v>
      </c>
      <c r="K140" s="440">
        <v>0</v>
      </c>
      <c r="L140" s="440">
        <v>0</v>
      </c>
      <c r="M140" s="440">
        <v>0</v>
      </c>
      <c r="N140" s="440">
        <v>0</v>
      </c>
      <c r="O140" s="440">
        <v>0</v>
      </c>
      <c r="P140" s="440">
        <v>5000000</v>
      </c>
      <c r="Q140" s="440"/>
      <c r="R140" s="440">
        <v>0</v>
      </c>
      <c r="S140" s="440">
        <v>0</v>
      </c>
      <c r="T140" s="440">
        <v>0</v>
      </c>
    </row>
    <row r="141" spans="1:20" s="423" customFormat="1" ht="27" customHeight="1">
      <c r="A141" s="427"/>
      <c r="B141" s="427"/>
      <c r="C141" s="427"/>
      <c r="D141" s="437"/>
      <c r="E141" s="437">
        <v>2</v>
      </c>
      <c r="F141" s="519">
        <v>8</v>
      </c>
      <c r="G141" s="510" t="s">
        <v>1030</v>
      </c>
      <c r="H141" s="524" t="s">
        <v>1068</v>
      </c>
      <c r="I141" s="440">
        <f>SUM(J141:T141)</f>
        <v>0</v>
      </c>
      <c r="J141" s="467"/>
      <c r="K141" s="440">
        <v>0</v>
      </c>
      <c r="L141" s="440">
        <v>0</v>
      </c>
      <c r="M141" s="440">
        <v>0</v>
      </c>
      <c r="N141" s="440">
        <v>0</v>
      </c>
      <c r="O141" s="440">
        <v>0</v>
      </c>
      <c r="P141" s="440">
        <v>0</v>
      </c>
      <c r="Q141" s="440">
        <v>0</v>
      </c>
      <c r="R141" s="440">
        <v>0</v>
      </c>
      <c r="S141" s="440">
        <v>0</v>
      </c>
      <c r="T141" s="440">
        <v>0</v>
      </c>
    </row>
    <row r="142" spans="1:20" s="420" customFormat="1" ht="52.5" customHeight="1">
      <c r="A142" s="450"/>
      <c r="B142" s="450"/>
      <c r="C142" s="450"/>
      <c r="D142" s="505"/>
      <c r="E142" s="451">
        <v>3</v>
      </c>
      <c r="F142" s="506"/>
      <c r="G142" s="506"/>
      <c r="H142" s="452" t="s">
        <v>1069</v>
      </c>
      <c r="I142" s="453">
        <f>I143+I148+I156+I160</f>
        <v>55557500</v>
      </c>
      <c r="J142" s="454" t="s">
        <v>321</v>
      </c>
      <c r="K142" s="453">
        <f t="shared" ref="K142:T142" si="45">K143+K148+K156+K160</f>
        <v>0</v>
      </c>
      <c r="L142" s="453">
        <f t="shared" si="45"/>
        <v>0</v>
      </c>
      <c r="M142" s="453">
        <f t="shared" si="45"/>
        <v>0</v>
      </c>
      <c r="N142" s="453">
        <f t="shared" si="45"/>
        <v>2250000</v>
      </c>
      <c r="O142" s="453">
        <f t="shared" si="45"/>
        <v>1500000</v>
      </c>
      <c r="P142" s="453">
        <f t="shared" si="45"/>
        <v>0</v>
      </c>
      <c r="Q142" s="453">
        <f t="shared" si="45"/>
        <v>2000000</v>
      </c>
      <c r="R142" s="453">
        <f t="shared" si="45"/>
        <v>49807500</v>
      </c>
      <c r="S142" s="453">
        <f t="shared" si="45"/>
        <v>0</v>
      </c>
      <c r="T142" s="453">
        <f t="shared" si="45"/>
        <v>0</v>
      </c>
    </row>
    <row r="143" spans="1:20" s="436" customFormat="1" ht="19.5" customHeight="1">
      <c r="A143" s="525"/>
      <c r="B143" s="456"/>
      <c r="C143" s="456"/>
      <c r="D143" s="497"/>
      <c r="E143" s="457">
        <v>3</v>
      </c>
      <c r="F143" s="458">
        <v>1</v>
      </c>
      <c r="G143" s="458"/>
      <c r="H143" s="459" t="s">
        <v>1070</v>
      </c>
      <c r="I143" s="460">
        <f>SUM(I144:I147)</f>
        <v>19075000</v>
      </c>
      <c r="J143" s="460">
        <f t="shared" ref="J143:T143" si="46">SUM(J144:J147)</f>
        <v>0</v>
      </c>
      <c r="K143" s="460">
        <f t="shared" si="46"/>
        <v>0</v>
      </c>
      <c r="L143" s="460">
        <f t="shared" si="46"/>
        <v>0</v>
      </c>
      <c r="M143" s="460">
        <f t="shared" si="46"/>
        <v>0</v>
      </c>
      <c r="N143" s="460">
        <f t="shared" si="46"/>
        <v>0</v>
      </c>
      <c r="O143" s="460">
        <f t="shared" si="46"/>
        <v>0</v>
      </c>
      <c r="P143" s="460">
        <f t="shared" si="46"/>
        <v>0</v>
      </c>
      <c r="Q143" s="460">
        <f t="shared" si="46"/>
        <v>0</v>
      </c>
      <c r="R143" s="460">
        <f>SUM(R144:R147)</f>
        <v>19075000</v>
      </c>
      <c r="S143" s="460">
        <f t="shared" si="46"/>
        <v>0</v>
      </c>
      <c r="T143" s="460">
        <f t="shared" si="46"/>
        <v>0</v>
      </c>
    </row>
    <row r="144" spans="1:20" s="423" customFormat="1" ht="36.75" customHeight="1">
      <c r="A144" s="427"/>
      <c r="B144" s="427"/>
      <c r="C144" s="427"/>
      <c r="D144" s="437">
        <v>5</v>
      </c>
      <c r="E144" s="526">
        <v>3</v>
      </c>
      <c r="F144" s="510">
        <v>1</v>
      </c>
      <c r="G144" s="510" t="s">
        <v>966</v>
      </c>
      <c r="H144" s="484" t="s">
        <v>1071</v>
      </c>
      <c r="I144" s="440">
        <f>SUM(J144:T144)</f>
        <v>3175000</v>
      </c>
      <c r="J144" s="527" t="s">
        <v>31</v>
      </c>
      <c r="K144" s="440">
        <v>0</v>
      </c>
      <c r="L144" s="440">
        <v>0</v>
      </c>
      <c r="M144" s="440">
        <v>0</v>
      </c>
      <c r="N144" s="440">
        <v>0</v>
      </c>
      <c r="O144" s="440">
        <v>0</v>
      </c>
      <c r="P144" s="440">
        <v>0</v>
      </c>
      <c r="Q144" s="440">
        <v>0</v>
      </c>
      <c r="R144" s="440">
        <v>3175000</v>
      </c>
      <c r="S144" s="440">
        <v>0</v>
      </c>
      <c r="T144" s="440">
        <v>0</v>
      </c>
    </row>
    <row r="145" spans="1:20" s="423" customFormat="1" ht="36.75" customHeight="1">
      <c r="A145" s="427"/>
      <c r="B145" s="427"/>
      <c r="C145" s="427"/>
      <c r="D145" s="437">
        <v>5</v>
      </c>
      <c r="E145" s="526">
        <v>3</v>
      </c>
      <c r="F145" s="510">
        <v>1</v>
      </c>
      <c r="G145" s="510" t="s">
        <v>925</v>
      </c>
      <c r="H145" s="484" t="s">
        <v>171</v>
      </c>
      <c r="I145" s="440">
        <f>SUM(J145:T145)</f>
        <v>4000000</v>
      </c>
      <c r="J145" s="527" t="s">
        <v>924</v>
      </c>
      <c r="K145" s="440">
        <v>0</v>
      </c>
      <c r="L145" s="440">
        <v>0</v>
      </c>
      <c r="M145" s="440">
        <v>0</v>
      </c>
      <c r="N145" s="440">
        <v>0</v>
      </c>
      <c r="O145" s="440">
        <v>0</v>
      </c>
      <c r="P145" s="440">
        <v>0</v>
      </c>
      <c r="Q145" s="440">
        <v>0</v>
      </c>
      <c r="R145" s="440">
        <f>4*1000000</f>
        <v>4000000</v>
      </c>
      <c r="S145" s="440"/>
      <c r="T145" s="440">
        <v>0</v>
      </c>
    </row>
    <row r="146" spans="1:20" s="423" customFormat="1" ht="36.75" customHeight="1">
      <c r="A146" s="427"/>
      <c r="B146" s="427"/>
      <c r="C146" s="427"/>
      <c r="D146" s="437">
        <v>5</v>
      </c>
      <c r="E146" s="526">
        <v>3</v>
      </c>
      <c r="F146" s="510">
        <v>1</v>
      </c>
      <c r="G146" s="510" t="s">
        <v>319</v>
      </c>
      <c r="H146" s="484" t="s">
        <v>320</v>
      </c>
      <c r="I146" s="440">
        <f>SUM(J146:T146)</f>
        <v>3500000</v>
      </c>
      <c r="J146" s="527" t="s">
        <v>31</v>
      </c>
      <c r="K146" s="440">
        <v>0</v>
      </c>
      <c r="L146" s="440">
        <v>0</v>
      </c>
      <c r="M146" s="440">
        <v>0</v>
      </c>
      <c r="N146" s="440">
        <v>0</v>
      </c>
      <c r="O146" s="440">
        <v>0</v>
      </c>
      <c r="P146" s="440">
        <v>0</v>
      </c>
      <c r="Q146" s="440">
        <v>0</v>
      </c>
      <c r="R146" s="440">
        <v>3500000</v>
      </c>
      <c r="S146" s="440">
        <v>0</v>
      </c>
      <c r="T146" s="440">
        <v>0</v>
      </c>
    </row>
    <row r="147" spans="1:20" s="423" customFormat="1" ht="36.75" customHeight="1">
      <c r="A147" s="427"/>
      <c r="B147" s="427"/>
      <c r="C147" s="427"/>
      <c r="D147" s="437">
        <v>5</v>
      </c>
      <c r="E147" s="526">
        <v>3</v>
      </c>
      <c r="F147" s="510">
        <v>1</v>
      </c>
      <c r="G147" s="510" t="s">
        <v>1038</v>
      </c>
      <c r="H147" s="484" t="s">
        <v>1114</v>
      </c>
      <c r="I147" s="440">
        <f>SUM(J147:T147)</f>
        <v>8400000</v>
      </c>
      <c r="J147" s="527" t="s">
        <v>924</v>
      </c>
      <c r="K147" s="440">
        <v>0</v>
      </c>
      <c r="L147" s="440">
        <v>0</v>
      </c>
      <c r="M147" s="440">
        <v>0</v>
      </c>
      <c r="N147" s="440">
        <v>0</v>
      </c>
      <c r="O147" s="440">
        <v>0</v>
      </c>
      <c r="P147" s="440">
        <v>0</v>
      </c>
      <c r="Q147" s="440">
        <v>0</v>
      </c>
      <c r="R147" s="440">
        <f>2*14*300000</f>
        <v>8400000</v>
      </c>
      <c r="S147" s="440"/>
      <c r="T147" s="440">
        <v>0</v>
      </c>
    </row>
    <row r="148" spans="1:20" s="420" customFormat="1" ht="25.5" customHeight="1">
      <c r="A148" s="496"/>
      <c r="B148" s="496"/>
      <c r="C148" s="496"/>
      <c r="D148" s="444"/>
      <c r="E148" s="444">
        <v>3</v>
      </c>
      <c r="F148" s="507">
        <v>2</v>
      </c>
      <c r="G148" s="499"/>
      <c r="H148" s="528" t="s">
        <v>176</v>
      </c>
      <c r="I148" s="447">
        <f>SUM(I149:I155)</f>
        <v>25250000</v>
      </c>
      <c r="J148" s="448" t="s">
        <v>31</v>
      </c>
      <c r="K148" s="447">
        <f t="shared" ref="K148:T148" si="47">SUM(K149:K155)</f>
        <v>0</v>
      </c>
      <c r="L148" s="447">
        <f t="shared" si="47"/>
        <v>0</v>
      </c>
      <c r="M148" s="447">
        <f t="shared" si="47"/>
        <v>0</v>
      </c>
      <c r="N148" s="447">
        <f t="shared" si="47"/>
        <v>0</v>
      </c>
      <c r="O148" s="447">
        <f t="shared" si="47"/>
        <v>0</v>
      </c>
      <c r="P148" s="447">
        <f t="shared" si="47"/>
        <v>0</v>
      </c>
      <c r="Q148" s="447">
        <f t="shared" si="47"/>
        <v>0</v>
      </c>
      <c r="R148" s="447">
        <f>SUM(R149:R155)</f>
        <v>25250000</v>
      </c>
      <c r="S148" s="447">
        <f t="shared" si="47"/>
        <v>0</v>
      </c>
      <c r="T148" s="447">
        <f t="shared" si="47"/>
        <v>0</v>
      </c>
    </row>
    <row r="149" spans="1:20" s="534" customFormat="1" ht="51" customHeight="1">
      <c r="A149" s="529"/>
      <c r="B149" s="529"/>
      <c r="C149" s="529"/>
      <c r="D149" s="502"/>
      <c r="E149" s="502">
        <v>3</v>
      </c>
      <c r="F149" s="530">
        <v>2</v>
      </c>
      <c r="G149" s="531" t="s">
        <v>960</v>
      </c>
      <c r="H149" s="504" t="s">
        <v>177</v>
      </c>
      <c r="I149" s="532">
        <f t="shared" ref="I149:I155" si="48">SUM(J149:T149)</f>
        <v>5000000</v>
      </c>
      <c r="J149" s="533" t="s">
        <v>31</v>
      </c>
      <c r="K149" s="532"/>
      <c r="L149" s="532">
        <v>0</v>
      </c>
      <c r="M149" s="532">
        <v>0</v>
      </c>
      <c r="N149" s="532">
        <v>0</v>
      </c>
      <c r="O149" s="532">
        <v>0</v>
      </c>
      <c r="P149" s="532">
        <v>0</v>
      </c>
      <c r="Q149" s="532"/>
      <c r="R149" s="532">
        <v>5000000</v>
      </c>
      <c r="S149" s="532">
        <v>0</v>
      </c>
      <c r="T149" s="532">
        <v>0</v>
      </c>
    </row>
    <row r="150" spans="1:20" s="423" customFormat="1" ht="51" customHeight="1">
      <c r="A150" s="427"/>
      <c r="B150" s="427"/>
      <c r="C150" s="427"/>
      <c r="D150" s="437"/>
      <c r="E150" s="437">
        <v>3</v>
      </c>
      <c r="F150" s="519">
        <v>2</v>
      </c>
      <c r="G150" s="510" t="s">
        <v>968</v>
      </c>
      <c r="H150" s="484" t="s">
        <v>1072</v>
      </c>
      <c r="I150" s="440">
        <f t="shared" si="48"/>
        <v>5000000</v>
      </c>
      <c r="J150" s="527" t="s">
        <v>321</v>
      </c>
      <c r="K150" s="440"/>
      <c r="L150" s="440">
        <v>0</v>
      </c>
      <c r="M150" s="440">
        <v>0</v>
      </c>
      <c r="N150" s="440">
        <v>0</v>
      </c>
      <c r="O150" s="440">
        <v>0</v>
      </c>
      <c r="P150" s="440">
        <v>0</v>
      </c>
      <c r="Q150" s="440"/>
      <c r="R150" s="440">
        <v>5000000</v>
      </c>
      <c r="S150" s="440">
        <v>0</v>
      </c>
      <c r="T150" s="440">
        <v>0</v>
      </c>
    </row>
    <row r="151" spans="1:20" s="423" customFormat="1" ht="47.25" customHeight="1">
      <c r="A151" s="427"/>
      <c r="B151" s="427"/>
      <c r="C151" s="427"/>
      <c r="D151" s="437"/>
      <c r="E151" s="437">
        <v>3</v>
      </c>
      <c r="F151" s="519">
        <v>2</v>
      </c>
      <c r="G151" s="510" t="s">
        <v>970</v>
      </c>
      <c r="H151" s="484" t="s">
        <v>1073</v>
      </c>
      <c r="I151" s="440">
        <f t="shared" si="48"/>
        <v>2000000</v>
      </c>
      <c r="J151" s="527" t="s">
        <v>31</v>
      </c>
      <c r="K151" s="440">
        <v>0</v>
      </c>
      <c r="L151" s="440">
        <v>0</v>
      </c>
      <c r="M151" s="440">
        <v>0</v>
      </c>
      <c r="N151" s="440">
        <v>0</v>
      </c>
      <c r="O151" s="440">
        <v>0</v>
      </c>
      <c r="P151" s="440">
        <v>0</v>
      </c>
      <c r="Q151" s="440">
        <v>0</v>
      </c>
      <c r="R151" s="440">
        <v>2000000</v>
      </c>
      <c r="S151" s="440">
        <v>0</v>
      </c>
      <c r="T151" s="440">
        <v>0</v>
      </c>
    </row>
    <row r="152" spans="1:20" s="423" customFormat="1" ht="32.1" customHeight="1">
      <c r="A152" s="427"/>
      <c r="B152" s="427"/>
      <c r="C152" s="427"/>
      <c r="D152" s="437"/>
      <c r="E152" s="437">
        <v>3</v>
      </c>
      <c r="F152" s="519">
        <v>2</v>
      </c>
      <c r="G152" s="510" t="s">
        <v>319</v>
      </c>
      <c r="H152" s="484" t="s">
        <v>59</v>
      </c>
      <c r="I152" s="440">
        <f t="shared" si="48"/>
        <v>6750000</v>
      </c>
      <c r="J152" s="527" t="s">
        <v>31</v>
      </c>
      <c r="K152" s="440">
        <v>0</v>
      </c>
      <c r="L152" s="440">
        <v>0</v>
      </c>
      <c r="M152" s="440">
        <v>0</v>
      </c>
      <c r="N152" s="440">
        <v>0</v>
      </c>
      <c r="O152" s="440">
        <v>0</v>
      </c>
      <c r="P152" s="440">
        <v>0</v>
      </c>
      <c r="Q152" s="440">
        <v>0</v>
      </c>
      <c r="R152" s="440">
        <f>27*250000</f>
        <v>6750000</v>
      </c>
      <c r="S152" s="440">
        <v>0</v>
      </c>
      <c r="T152" s="440">
        <v>0</v>
      </c>
    </row>
    <row r="153" spans="1:20" s="423" customFormat="1" ht="32.1" customHeight="1">
      <c r="A153" s="427"/>
      <c r="B153" s="427"/>
      <c r="C153" s="427"/>
      <c r="D153" s="437"/>
      <c r="E153" s="437">
        <v>3</v>
      </c>
      <c r="F153" s="519">
        <v>2</v>
      </c>
      <c r="G153" s="510" t="s">
        <v>1042</v>
      </c>
      <c r="H153" s="484" t="s">
        <v>58</v>
      </c>
      <c r="I153" s="440">
        <f t="shared" si="48"/>
        <v>4500000</v>
      </c>
      <c r="J153" s="527" t="s">
        <v>31</v>
      </c>
      <c r="K153" s="440">
        <v>0</v>
      </c>
      <c r="L153" s="440">
        <v>0</v>
      </c>
      <c r="M153" s="440">
        <v>0</v>
      </c>
      <c r="N153" s="440">
        <v>0</v>
      </c>
      <c r="O153" s="440">
        <v>0</v>
      </c>
      <c r="P153" s="440">
        <v>0</v>
      </c>
      <c r="Q153" s="440">
        <v>0</v>
      </c>
      <c r="R153" s="440">
        <v>4500000</v>
      </c>
      <c r="S153" s="440">
        <v>0</v>
      </c>
      <c r="T153" s="440">
        <v>0</v>
      </c>
    </row>
    <row r="154" spans="1:20" s="423" customFormat="1" ht="36" customHeight="1">
      <c r="A154" s="427"/>
      <c r="B154" s="427"/>
      <c r="C154" s="427"/>
      <c r="D154" s="437"/>
      <c r="E154" s="437">
        <v>3</v>
      </c>
      <c r="F154" s="519">
        <v>2</v>
      </c>
      <c r="G154" s="510" t="s">
        <v>1074</v>
      </c>
      <c r="H154" s="484" t="s">
        <v>1075</v>
      </c>
      <c r="I154" s="440">
        <f t="shared" si="48"/>
        <v>2000000</v>
      </c>
      <c r="J154" s="527" t="s">
        <v>31</v>
      </c>
      <c r="K154" s="440">
        <v>0</v>
      </c>
      <c r="L154" s="440">
        <v>0</v>
      </c>
      <c r="M154" s="440">
        <v>0</v>
      </c>
      <c r="N154" s="440">
        <v>0</v>
      </c>
      <c r="O154" s="440">
        <v>0</v>
      </c>
      <c r="P154" s="440">
        <v>0</v>
      </c>
      <c r="Q154" s="440">
        <v>0</v>
      </c>
      <c r="R154" s="440">
        <v>2000000</v>
      </c>
      <c r="S154" s="440">
        <v>0</v>
      </c>
      <c r="T154" s="440">
        <v>0</v>
      </c>
    </row>
    <row r="155" spans="1:20" s="423" customFormat="1" ht="25.5" customHeight="1">
      <c r="A155" s="427"/>
      <c r="B155" s="427"/>
      <c r="C155" s="427"/>
      <c r="D155" s="437"/>
      <c r="E155" s="437">
        <v>3</v>
      </c>
      <c r="F155" s="519">
        <v>2</v>
      </c>
      <c r="G155" s="510" t="s">
        <v>1030</v>
      </c>
      <c r="H155" s="495" t="s">
        <v>1076</v>
      </c>
      <c r="I155" s="440">
        <f t="shared" si="48"/>
        <v>0</v>
      </c>
      <c r="J155" s="527" t="s">
        <v>31</v>
      </c>
      <c r="K155" s="440">
        <v>0</v>
      </c>
      <c r="L155" s="440">
        <v>0</v>
      </c>
      <c r="M155" s="440">
        <v>0</v>
      </c>
      <c r="N155" s="440">
        <v>0</v>
      </c>
      <c r="O155" s="440">
        <v>0</v>
      </c>
      <c r="P155" s="440">
        <v>0</v>
      </c>
      <c r="Q155" s="440">
        <v>0</v>
      </c>
      <c r="R155" s="440">
        <v>0</v>
      </c>
      <c r="S155" s="440">
        <v>0</v>
      </c>
      <c r="T155" s="440">
        <v>0</v>
      </c>
    </row>
    <row r="156" spans="1:20" s="420" customFormat="1" ht="46.5" customHeight="1">
      <c r="A156" s="496"/>
      <c r="B156" s="496"/>
      <c r="C156" s="496"/>
      <c r="D156" s="444"/>
      <c r="E156" s="508">
        <v>3</v>
      </c>
      <c r="F156" s="507">
        <v>3</v>
      </c>
      <c r="G156" s="499"/>
      <c r="H156" s="445" t="s">
        <v>1077</v>
      </c>
      <c r="I156" s="447">
        <f>SUM(I157:I159)</f>
        <v>4000000</v>
      </c>
      <c r="J156" s="535" t="s">
        <v>401</v>
      </c>
      <c r="K156" s="447">
        <f t="shared" ref="K156:T156" si="49">SUM(K157:K159)</f>
        <v>0</v>
      </c>
      <c r="L156" s="447">
        <f t="shared" si="49"/>
        <v>0</v>
      </c>
      <c r="M156" s="447">
        <f t="shared" si="49"/>
        <v>0</v>
      </c>
      <c r="N156" s="447">
        <f t="shared" si="49"/>
        <v>0</v>
      </c>
      <c r="O156" s="447">
        <f t="shared" si="49"/>
        <v>0</v>
      </c>
      <c r="P156" s="447">
        <f t="shared" si="49"/>
        <v>0</v>
      </c>
      <c r="Q156" s="447">
        <f t="shared" si="49"/>
        <v>2000000</v>
      </c>
      <c r="R156" s="447">
        <f t="shared" si="49"/>
        <v>2000000</v>
      </c>
      <c r="S156" s="447">
        <f t="shared" si="49"/>
        <v>0</v>
      </c>
      <c r="T156" s="447">
        <f t="shared" si="49"/>
        <v>0</v>
      </c>
    </row>
    <row r="157" spans="1:20" s="423" customFormat="1" ht="28.5" customHeight="1">
      <c r="A157" s="427"/>
      <c r="B157" s="427"/>
      <c r="C157" s="427"/>
      <c r="D157" s="437"/>
      <c r="E157" s="526">
        <v>3</v>
      </c>
      <c r="F157" s="519">
        <v>3</v>
      </c>
      <c r="G157" s="510" t="s">
        <v>319</v>
      </c>
      <c r="H157" s="483" t="s">
        <v>189</v>
      </c>
      <c r="I157" s="440">
        <f t="shared" ref="I157:I159" si="50">SUM(J157:T157)</f>
        <v>2000000</v>
      </c>
      <c r="J157" s="527" t="s">
        <v>31</v>
      </c>
      <c r="K157" s="440">
        <v>0</v>
      </c>
      <c r="L157" s="440">
        <v>0</v>
      </c>
      <c r="M157" s="440">
        <v>0</v>
      </c>
      <c r="N157" s="440">
        <v>0</v>
      </c>
      <c r="O157" s="440">
        <v>0</v>
      </c>
      <c r="P157" s="440">
        <v>0</v>
      </c>
      <c r="Q157" s="440">
        <v>0</v>
      </c>
      <c r="R157" s="440">
        <v>2000000</v>
      </c>
      <c r="S157" s="440">
        <v>0</v>
      </c>
      <c r="T157" s="440">
        <v>0</v>
      </c>
    </row>
    <row r="158" spans="1:20" s="423" customFormat="1" ht="28.5" customHeight="1">
      <c r="A158" s="427"/>
      <c r="B158" s="427"/>
      <c r="C158" s="427"/>
      <c r="D158" s="437"/>
      <c r="E158" s="526">
        <v>3</v>
      </c>
      <c r="F158" s="519">
        <v>3</v>
      </c>
      <c r="G158" s="510" t="s">
        <v>925</v>
      </c>
      <c r="H158" s="483" t="s">
        <v>191</v>
      </c>
      <c r="I158" s="440">
        <f t="shared" si="50"/>
        <v>2000000</v>
      </c>
      <c r="J158" s="527" t="s">
        <v>9</v>
      </c>
      <c r="K158" s="440">
        <v>0</v>
      </c>
      <c r="L158" s="440">
        <v>0</v>
      </c>
      <c r="M158" s="440">
        <v>0</v>
      </c>
      <c r="N158" s="440">
        <v>0</v>
      </c>
      <c r="O158" s="440">
        <v>0</v>
      </c>
      <c r="P158" s="440">
        <v>0</v>
      </c>
      <c r="Q158" s="440">
        <v>2000000</v>
      </c>
      <c r="R158" s="440"/>
      <c r="S158" s="440">
        <v>0</v>
      </c>
      <c r="T158" s="440">
        <v>0</v>
      </c>
    </row>
    <row r="159" spans="1:20" s="423" customFormat="1" ht="29.25" customHeight="1">
      <c r="A159" s="427"/>
      <c r="B159" s="427"/>
      <c r="C159" s="427"/>
      <c r="D159" s="437"/>
      <c r="E159" s="526">
        <v>3</v>
      </c>
      <c r="F159" s="519">
        <v>3</v>
      </c>
      <c r="G159" s="510" t="s">
        <v>1030</v>
      </c>
      <c r="H159" s="495" t="s">
        <v>1078</v>
      </c>
      <c r="I159" s="440">
        <f t="shared" si="50"/>
        <v>0</v>
      </c>
      <c r="J159" s="527">
        <v>0</v>
      </c>
      <c r="K159" s="440">
        <v>0</v>
      </c>
      <c r="L159" s="440">
        <v>0</v>
      </c>
      <c r="M159" s="440">
        <v>0</v>
      </c>
      <c r="N159" s="440">
        <v>0</v>
      </c>
      <c r="O159" s="440">
        <v>0</v>
      </c>
      <c r="P159" s="440">
        <v>0</v>
      </c>
      <c r="Q159" s="440">
        <v>0</v>
      </c>
      <c r="R159" s="440">
        <v>0</v>
      </c>
      <c r="S159" s="440">
        <v>0</v>
      </c>
      <c r="T159" s="440">
        <v>0</v>
      </c>
    </row>
    <row r="160" spans="1:20" s="420" customFormat="1" ht="29.25" customHeight="1">
      <c r="A160" s="496"/>
      <c r="B160" s="496"/>
      <c r="C160" s="496"/>
      <c r="D160" s="444"/>
      <c r="E160" s="508">
        <v>3</v>
      </c>
      <c r="F160" s="507">
        <v>4</v>
      </c>
      <c r="G160" s="499"/>
      <c r="H160" s="515" t="s">
        <v>193</v>
      </c>
      <c r="I160" s="447">
        <f>SUM(I161:I164)</f>
        <v>7232500</v>
      </c>
      <c r="J160" s="448" t="s">
        <v>31</v>
      </c>
      <c r="K160" s="447">
        <f t="shared" ref="K160:T160" si="51">SUM(K161:K164)</f>
        <v>0</v>
      </c>
      <c r="L160" s="447">
        <f t="shared" si="51"/>
        <v>0</v>
      </c>
      <c r="M160" s="447">
        <f t="shared" si="51"/>
        <v>0</v>
      </c>
      <c r="N160" s="447">
        <f t="shared" si="51"/>
        <v>2250000</v>
      </c>
      <c r="O160" s="447">
        <f t="shared" si="51"/>
        <v>1500000</v>
      </c>
      <c r="P160" s="447">
        <f t="shared" si="51"/>
        <v>0</v>
      </c>
      <c r="Q160" s="447">
        <f t="shared" si="51"/>
        <v>0</v>
      </c>
      <c r="R160" s="447">
        <f t="shared" si="51"/>
        <v>3482500</v>
      </c>
      <c r="S160" s="447">
        <f t="shared" si="51"/>
        <v>0</v>
      </c>
      <c r="T160" s="447">
        <f t="shared" si="51"/>
        <v>0</v>
      </c>
    </row>
    <row r="161" spans="1:20" s="423" customFormat="1" ht="29.25" customHeight="1">
      <c r="A161" s="427"/>
      <c r="B161" s="427"/>
      <c r="C161" s="427"/>
      <c r="D161" s="437"/>
      <c r="E161" s="526">
        <v>3</v>
      </c>
      <c r="F161" s="519">
        <v>4</v>
      </c>
      <c r="G161" s="510" t="s">
        <v>1036</v>
      </c>
      <c r="H161" s="495" t="s">
        <v>194</v>
      </c>
      <c r="I161" s="440">
        <f>SUM(J161:T161)</f>
        <v>3482500</v>
      </c>
      <c r="J161" s="527" t="s">
        <v>31</v>
      </c>
      <c r="K161" s="440">
        <v>0</v>
      </c>
      <c r="L161" s="440">
        <v>0</v>
      </c>
      <c r="M161" s="440">
        <v>0</v>
      </c>
      <c r="N161" s="440">
        <v>0</v>
      </c>
      <c r="O161" s="440">
        <v>0</v>
      </c>
      <c r="P161" s="440">
        <v>0</v>
      </c>
      <c r="Q161" s="440">
        <v>0</v>
      </c>
      <c r="R161" s="440">
        <f>4000000-684800+167300</f>
        <v>3482500</v>
      </c>
      <c r="S161" s="440">
        <v>0</v>
      </c>
      <c r="T161" s="440">
        <v>0</v>
      </c>
    </row>
    <row r="162" spans="1:20" s="423" customFormat="1" ht="29.25" customHeight="1">
      <c r="A162" s="427"/>
      <c r="B162" s="427"/>
      <c r="C162" s="427"/>
      <c r="D162" s="437"/>
      <c r="E162" s="526">
        <v>3</v>
      </c>
      <c r="F162" s="519">
        <v>4</v>
      </c>
      <c r="G162" s="510" t="s">
        <v>1038</v>
      </c>
      <c r="H162" s="495" t="s">
        <v>196</v>
      </c>
      <c r="I162" s="440">
        <f>SUM(J162:T162)</f>
        <v>1500000</v>
      </c>
      <c r="J162" s="527" t="s">
        <v>1079</v>
      </c>
      <c r="K162" s="440">
        <v>0</v>
      </c>
      <c r="L162" s="440">
        <v>0</v>
      </c>
      <c r="M162" s="440">
        <v>0</v>
      </c>
      <c r="N162" s="440">
        <v>0</v>
      </c>
      <c r="O162" s="440">
        <v>1500000</v>
      </c>
      <c r="P162" s="440">
        <v>0</v>
      </c>
      <c r="Q162" s="440">
        <v>0</v>
      </c>
      <c r="R162" s="440"/>
      <c r="S162" s="440">
        <v>0</v>
      </c>
      <c r="T162" s="440">
        <v>0</v>
      </c>
    </row>
    <row r="163" spans="1:20" s="423" customFormat="1" ht="29.25" customHeight="1">
      <c r="A163" s="427"/>
      <c r="B163" s="427"/>
      <c r="C163" s="427"/>
      <c r="D163" s="437"/>
      <c r="E163" s="526">
        <v>3</v>
      </c>
      <c r="F163" s="519">
        <v>4</v>
      </c>
      <c r="G163" s="510" t="s">
        <v>1080</v>
      </c>
      <c r="H163" s="495" t="s">
        <v>43</v>
      </c>
      <c r="I163" s="440">
        <f>SUM(J163:T163)</f>
        <v>2250000</v>
      </c>
      <c r="J163" s="527" t="s">
        <v>46</v>
      </c>
      <c r="K163" s="440">
        <v>0</v>
      </c>
      <c r="L163" s="440">
        <v>0</v>
      </c>
      <c r="M163" s="440">
        <v>0</v>
      </c>
      <c r="N163" s="440">
        <v>2250000</v>
      </c>
      <c r="O163" s="440">
        <v>0</v>
      </c>
      <c r="P163" s="440">
        <v>0</v>
      </c>
      <c r="Q163" s="440">
        <v>0</v>
      </c>
      <c r="R163" s="440"/>
      <c r="S163" s="440">
        <v>0</v>
      </c>
      <c r="T163" s="440"/>
    </row>
    <row r="164" spans="1:20" s="423" customFormat="1" ht="29.25" customHeight="1">
      <c r="A164" s="427"/>
      <c r="B164" s="427"/>
      <c r="C164" s="427"/>
      <c r="D164" s="437"/>
      <c r="E164" s="526">
        <v>3</v>
      </c>
      <c r="F164" s="519">
        <v>4</v>
      </c>
      <c r="G164" s="510" t="s">
        <v>1030</v>
      </c>
      <c r="H164" s="495" t="s">
        <v>1081</v>
      </c>
      <c r="I164" s="440">
        <f>SUM(J164:T164)</f>
        <v>0</v>
      </c>
      <c r="J164" s="527"/>
      <c r="K164" s="440">
        <v>0</v>
      </c>
      <c r="L164" s="440">
        <v>0</v>
      </c>
      <c r="M164" s="440">
        <v>0</v>
      </c>
      <c r="N164" s="440">
        <v>0</v>
      </c>
      <c r="O164" s="440">
        <v>0</v>
      </c>
      <c r="P164" s="440">
        <v>0</v>
      </c>
      <c r="Q164" s="440">
        <v>0</v>
      </c>
      <c r="R164" s="440">
        <v>0</v>
      </c>
      <c r="S164" s="440">
        <v>0</v>
      </c>
      <c r="T164" s="440">
        <v>0</v>
      </c>
    </row>
    <row r="165" spans="1:20" s="420" customFormat="1" ht="29.25" customHeight="1">
      <c r="A165" s="450"/>
      <c r="B165" s="450"/>
      <c r="C165" s="450"/>
      <c r="D165" s="505"/>
      <c r="E165" s="451">
        <v>4</v>
      </c>
      <c r="F165" s="506"/>
      <c r="G165" s="506"/>
      <c r="H165" s="452" t="s">
        <v>1082</v>
      </c>
      <c r="I165" s="453">
        <f t="shared" ref="I165:T165" si="52">I166+I170+I174+I183+I186</f>
        <v>63590000</v>
      </c>
      <c r="J165" s="453" t="e">
        <f t="shared" si="52"/>
        <v>#VALUE!</v>
      </c>
      <c r="K165" s="453">
        <f t="shared" si="52"/>
        <v>0</v>
      </c>
      <c r="L165" s="453">
        <f t="shared" si="52"/>
        <v>0</v>
      </c>
      <c r="M165" s="453">
        <f t="shared" si="52"/>
        <v>0</v>
      </c>
      <c r="N165" s="453">
        <f t="shared" si="52"/>
        <v>0</v>
      </c>
      <c r="O165" s="453">
        <f t="shared" si="52"/>
        <v>0</v>
      </c>
      <c r="P165" s="453">
        <f t="shared" si="52"/>
        <v>63590000</v>
      </c>
      <c r="Q165" s="453">
        <f t="shared" si="52"/>
        <v>0</v>
      </c>
      <c r="R165" s="453">
        <f t="shared" si="52"/>
        <v>0</v>
      </c>
      <c r="S165" s="453">
        <f t="shared" si="52"/>
        <v>0</v>
      </c>
      <c r="T165" s="453">
        <f t="shared" si="52"/>
        <v>0</v>
      </c>
    </row>
    <row r="166" spans="1:20" s="436" customFormat="1" ht="29.25" customHeight="1">
      <c r="A166" s="456"/>
      <c r="B166" s="456"/>
      <c r="C166" s="456"/>
      <c r="D166" s="497"/>
      <c r="E166" s="457">
        <v>4</v>
      </c>
      <c r="F166" s="458">
        <v>2</v>
      </c>
      <c r="G166" s="458"/>
      <c r="H166" s="459" t="s">
        <v>200</v>
      </c>
      <c r="I166" s="460">
        <f>SUM(I167:I169)</f>
        <v>11500000</v>
      </c>
      <c r="J166" s="461" t="s">
        <v>21</v>
      </c>
      <c r="K166" s="460">
        <f t="shared" ref="K166:T166" si="53">SUM(K167:K169)</f>
        <v>0</v>
      </c>
      <c r="L166" s="460">
        <f t="shared" si="53"/>
        <v>0</v>
      </c>
      <c r="M166" s="460">
        <f t="shared" si="53"/>
        <v>0</v>
      </c>
      <c r="N166" s="460">
        <f t="shared" si="53"/>
        <v>0</v>
      </c>
      <c r="O166" s="460">
        <f t="shared" si="53"/>
        <v>0</v>
      </c>
      <c r="P166" s="460">
        <f t="shared" si="53"/>
        <v>11500000</v>
      </c>
      <c r="Q166" s="460">
        <f t="shared" si="53"/>
        <v>0</v>
      </c>
      <c r="R166" s="460">
        <f t="shared" si="53"/>
        <v>0</v>
      </c>
      <c r="S166" s="460">
        <f t="shared" si="53"/>
        <v>0</v>
      </c>
      <c r="T166" s="460">
        <f t="shared" si="53"/>
        <v>0</v>
      </c>
    </row>
    <row r="167" spans="1:20" s="423" customFormat="1" ht="44.1" customHeight="1">
      <c r="A167" s="427"/>
      <c r="B167" s="427"/>
      <c r="C167" s="427"/>
      <c r="D167" s="437"/>
      <c r="E167" s="526">
        <v>4</v>
      </c>
      <c r="F167" s="510">
        <v>2</v>
      </c>
      <c r="G167" s="510" t="s">
        <v>972</v>
      </c>
      <c r="H167" s="483" t="s">
        <v>33</v>
      </c>
      <c r="I167" s="440">
        <f>SUM(J167:T167)</f>
        <v>6000000</v>
      </c>
      <c r="J167" s="527" t="s">
        <v>21</v>
      </c>
      <c r="K167" s="440">
        <v>0</v>
      </c>
      <c r="L167" s="440">
        <v>0</v>
      </c>
      <c r="M167" s="440">
        <v>0</v>
      </c>
      <c r="N167" s="440">
        <v>0</v>
      </c>
      <c r="O167" s="440">
        <v>0</v>
      </c>
      <c r="P167" s="440">
        <v>6000000</v>
      </c>
      <c r="Q167" s="440">
        <v>0</v>
      </c>
      <c r="R167" s="440">
        <v>0</v>
      </c>
      <c r="S167" s="440">
        <v>0</v>
      </c>
      <c r="T167" s="440">
        <v>0</v>
      </c>
    </row>
    <row r="168" spans="1:20" s="423" customFormat="1" ht="44.1" customHeight="1">
      <c r="A168" s="427"/>
      <c r="B168" s="427"/>
      <c r="C168" s="427"/>
      <c r="D168" s="437"/>
      <c r="E168" s="526">
        <v>4</v>
      </c>
      <c r="F168" s="510">
        <v>2</v>
      </c>
      <c r="G168" s="510" t="s">
        <v>1036</v>
      </c>
      <c r="H168" s="483" t="s">
        <v>203</v>
      </c>
      <c r="I168" s="440">
        <f>SUM(J168:T168)</f>
        <v>5500000</v>
      </c>
      <c r="J168" s="527" t="s">
        <v>21</v>
      </c>
      <c r="K168" s="440">
        <v>0</v>
      </c>
      <c r="L168" s="440">
        <v>0</v>
      </c>
      <c r="M168" s="440">
        <v>0</v>
      </c>
      <c r="N168" s="440">
        <v>0</v>
      </c>
      <c r="O168" s="440">
        <v>0</v>
      </c>
      <c r="P168" s="440">
        <v>5500000</v>
      </c>
      <c r="Q168" s="440">
        <v>0</v>
      </c>
      <c r="R168" s="440">
        <v>0</v>
      </c>
      <c r="S168" s="440">
        <v>0</v>
      </c>
      <c r="T168" s="440">
        <v>0</v>
      </c>
    </row>
    <row r="169" spans="1:20" s="423" customFormat="1" ht="27.95" customHeight="1">
      <c r="A169" s="427"/>
      <c r="B169" s="427"/>
      <c r="C169" s="427"/>
      <c r="D169" s="437"/>
      <c r="E169" s="526">
        <v>4</v>
      </c>
      <c r="F169" s="510">
        <v>2</v>
      </c>
      <c r="G169" s="510" t="s">
        <v>1030</v>
      </c>
      <c r="H169" s="483" t="s">
        <v>1083</v>
      </c>
      <c r="I169" s="440">
        <f>SUM(J169:T169)</f>
        <v>0</v>
      </c>
      <c r="J169" s="527">
        <v>0</v>
      </c>
      <c r="K169" s="440">
        <v>0</v>
      </c>
      <c r="L169" s="440">
        <v>0</v>
      </c>
      <c r="M169" s="440">
        <v>0</v>
      </c>
      <c r="N169" s="440">
        <v>0</v>
      </c>
      <c r="O169" s="440">
        <v>0</v>
      </c>
      <c r="P169" s="440">
        <v>0</v>
      </c>
      <c r="Q169" s="440">
        <v>0</v>
      </c>
      <c r="R169" s="440">
        <v>0</v>
      </c>
      <c r="S169" s="440">
        <v>0</v>
      </c>
      <c r="T169" s="440">
        <v>0</v>
      </c>
    </row>
    <row r="170" spans="1:20" s="436" customFormat="1" ht="30" customHeight="1">
      <c r="A170" s="456"/>
      <c r="B170" s="456"/>
      <c r="C170" s="456"/>
      <c r="D170" s="497"/>
      <c r="E170" s="457">
        <v>4</v>
      </c>
      <c r="F170" s="458">
        <v>3</v>
      </c>
      <c r="G170" s="458"/>
      <c r="H170" s="459" t="s">
        <v>206</v>
      </c>
      <c r="I170" s="460">
        <f>SUM(I171:I173)</f>
        <v>17000000</v>
      </c>
      <c r="J170" s="461" t="s">
        <v>21</v>
      </c>
      <c r="K170" s="460">
        <f t="shared" ref="K170:T170" si="54">SUM(K171:K173)</f>
        <v>0</v>
      </c>
      <c r="L170" s="460">
        <f t="shared" si="54"/>
        <v>0</v>
      </c>
      <c r="M170" s="460">
        <f t="shared" si="54"/>
        <v>0</v>
      </c>
      <c r="N170" s="460">
        <f t="shared" si="54"/>
        <v>0</v>
      </c>
      <c r="O170" s="460">
        <f t="shared" si="54"/>
        <v>0</v>
      </c>
      <c r="P170" s="460">
        <f t="shared" si="54"/>
        <v>17000000</v>
      </c>
      <c r="Q170" s="460">
        <f t="shared" si="54"/>
        <v>0</v>
      </c>
      <c r="R170" s="460">
        <f t="shared" si="54"/>
        <v>0</v>
      </c>
      <c r="S170" s="460">
        <f t="shared" si="54"/>
        <v>0</v>
      </c>
      <c r="T170" s="460">
        <f t="shared" si="54"/>
        <v>0</v>
      </c>
    </row>
    <row r="171" spans="1:20" s="423" customFormat="1" ht="28.5" customHeight="1">
      <c r="A171" s="427"/>
      <c r="B171" s="427"/>
      <c r="C171" s="427"/>
      <c r="D171" s="437"/>
      <c r="E171" s="526">
        <v>4</v>
      </c>
      <c r="F171" s="510">
        <v>3</v>
      </c>
      <c r="G171" s="510" t="s">
        <v>960</v>
      </c>
      <c r="H171" s="483" t="s">
        <v>1084</v>
      </c>
      <c r="I171" s="440">
        <f>SUM(J171:T171)</f>
        <v>12000000</v>
      </c>
      <c r="J171" s="527" t="s">
        <v>21</v>
      </c>
      <c r="K171" s="440">
        <v>0</v>
      </c>
      <c r="L171" s="440">
        <v>0</v>
      </c>
      <c r="M171" s="440">
        <v>0</v>
      </c>
      <c r="N171" s="440">
        <v>0</v>
      </c>
      <c r="O171" s="440">
        <v>0</v>
      </c>
      <c r="P171" s="440">
        <v>12000000</v>
      </c>
      <c r="Q171" s="440">
        <v>0</v>
      </c>
      <c r="R171" s="440">
        <v>0</v>
      </c>
      <c r="S171" s="440">
        <v>0</v>
      </c>
      <c r="T171" s="440">
        <v>0</v>
      </c>
    </row>
    <row r="172" spans="1:20" s="423" customFormat="1" ht="28.5" customHeight="1">
      <c r="A172" s="427"/>
      <c r="B172" s="427"/>
      <c r="C172" s="427"/>
      <c r="D172" s="437"/>
      <c r="E172" s="526">
        <v>4</v>
      </c>
      <c r="F172" s="510">
        <v>3</v>
      </c>
      <c r="G172" s="510" t="s">
        <v>968</v>
      </c>
      <c r="H172" s="483" t="s">
        <v>1085</v>
      </c>
      <c r="I172" s="440">
        <f>SUM(J172:T172)</f>
        <v>5000000</v>
      </c>
      <c r="J172" s="527" t="s">
        <v>21</v>
      </c>
      <c r="K172" s="440">
        <v>0</v>
      </c>
      <c r="L172" s="440">
        <v>0</v>
      </c>
      <c r="M172" s="440">
        <v>0</v>
      </c>
      <c r="N172" s="440">
        <v>0</v>
      </c>
      <c r="O172" s="440">
        <v>0</v>
      </c>
      <c r="P172" s="440">
        <v>5000000</v>
      </c>
      <c r="Q172" s="440">
        <v>0</v>
      </c>
      <c r="R172" s="440">
        <v>0</v>
      </c>
      <c r="S172" s="440">
        <v>0</v>
      </c>
      <c r="T172" s="440">
        <v>0</v>
      </c>
    </row>
    <row r="173" spans="1:20" s="423" customFormat="1" ht="28.5" customHeight="1">
      <c r="A173" s="427"/>
      <c r="B173" s="427"/>
      <c r="C173" s="427"/>
      <c r="D173" s="437"/>
      <c r="E173" s="526">
        <v>4</v>
      </c>
      <c r="F173" s="510">
        <v>3</v>
      </c>
      <c r="G173" s="510">
        <v>99</v>
      </c>
      <c r="H173" s="483" t="s">
        <v>1086</v>
      </c>
      <c r="I173" s="440">
        <f>SUM(J173:T173)</f>
        <v>0</v>
      </c>
      <c r="J173" s="527">
        <v>0</v>
      </c>
      <c r="K173" s="440">
        <v>0</v>
      </c>
      <c r="L173" s="440">
        <v>0</v>
      </c>
      <c r="M173" s="440">
        <v>0</v>
      </c>
      <c r="N173" s="440">
        <v>0</v>
      </c>
      <c r="O173" s="440">
        <v>0</v>
      </c>
      <c r="P173" s="440">
        <v>0</v>
      </c>
      <c r="Q173" s="440">
        <v>0</v>
      </c>
      <c r="R173" s="440">
        <v>0</v>
      </c>
      <c r="S173" s="440">
        <v>0</v>
      </c>
      <c r="T173" s="440">
        <v>0</v>
      </c>
    </row>
    <row r="174" spans="1:20" s="420" customFormat="1" ht="36">
      <c r="A174" s="496"/>
      <c r="B174" s="496"/>
      <c r="C174" s="496"/>
      <c r="D174" s="444"/>
      <c r="E174" s="444">
        <v>4</v>
      </c>
      <c r="F174" s="507">
        <v>4</v>
      </c>
      <c r="G174" s="507"/>
      <c r="H174" s="536" t="s">
        <v>210</v>
      </c>
      <c r="I174" s="447">
        <f>SUM(I175:I182)</f>
        <v>24720000</v>
      </c>
      <c r="J174" s="448">
        <f>SUM(J179:J182)</f>
        <v>0</v>
      </c>
      <c r="K174" s="447">
        <f t="shared" ref="K174:S174" si="55">SUM(K175:K182)</f>
        <v>0</v>
      </c>
      <c r="L174" s="447">
        <f t="shared" si="55"/>
        <v>0</v>
      </c>
      <c r="M174" s="447">
        <f t="shared" si="55"/>
        <v>0</v>
      </c>
      <c r="N174" s="447">
        <f t="shared" si="55"/>
        <v>0</v>
      </c>
      <c r="O174" s="537">
        <f t="shared" si="55"/>
        <v>0</v>
      </c>
      <c r="P174" s="447">
        <f t="shared" si="55"/>
        <v>24720000</v>
      </c>
      <c r="Q174" s="447">
        <f t="shared" si="55"/>
        <v>0</v>
      </c>
      <c r="R174" s="447">
        <f t="shared" si="55"/>
        <v>0</v>
      </c>
      <c r="S174" s="447">
        <f t="shared" si="55"/>
        <v>0</v>
      </c>
      <c r="T174" s="447">
        <f>SUM(T179:T182)</f>
        <v>0</v>
      </c>
    </row>
    <row r="175" spans="1:20" s="423" customFormat="1" ht="27.75" customHeight="1">
      <c r="A175" s="427"/>
      <c r="B175" s="427"/>
      <c r="C175" s="427"/>
      <c r="D175" s="437"/>
      <c r="E175" s="526">
        <v>4</v>
      </c>
      <c r="F175" s="519">
        <v>4</v>
      </c>
      <c r="G175" s="519" t="s">
        <v>960</v>
      </c>
      <c r="H175" s="483" t="s">
        <v>325</v>
      </c>
      <c r="I175" s="440">
        <f t="shared" ref="I175:I182" si="56">SUM(J175:T175)</f>
        <v>3370000</v>
      </c>
      <c r="J175" s="527" t="s">
        <v>21</v>
      </c>
      <c r="K175" s="440">
        <v>0</v>
      </c>
      <c r="L175" s="440">
        <v>0</v>
      </c>
      <c r="M175" s="440">
        <v>0</v>
      </c>
      <c r="N175" s="440">
        <v>0</v>
      </c>
      <c r="O175" s="440"/>
      <c r="P175" s="440">
        <f>400000+200000+(3*14*30000)+(3*14*30000)+(5*50000)</f>
        <v>3370000</v>
      </c>
      <c r="Q175" s="440">
        <v>0</v>
      </c>
      <c r="R175" s="440">
        <v>0</v>
      </c>
      <c r="S175" s="440">
        <v>0</v>
      </c>
      <c r="T175" s="440">
        <v>0</v>
      </c>
    </row>
    <row r="176" spans="1:20" s="423" customFormat="1" ht="27.75" customHeight="1">
      <c r="A176" s="427"/>
      <c r="B176" s="427"/>
      <c r="C176" s="427"/>
      <c r="D176" s="437"/>
      <c r="E176" s="526">
        <v>4</v>
      </c>
      <c r="F176" s="519">
        <v>4</v>
      </c>
      <c r="G176" s="519" t="s">
        <v>966</v>
      </c>
      <c r="H176" s="483" t="s">
        <v>326</v>
      </c>
      <c r="I176" s="440">
        <f t="shared" si="56"/>
        <v>3370000</v>
      </c>
      <c r="J176" s="527">
        <v>0</v>
      </c>
      <c r="K176" s="440">
        <v>0</v>
      </c>
      <c r="L176" s="440">
        <v>0</v>
      </c>
      <c r="M176" s="440">
        <v>0</v>
      </c>
      <c r="N176" s="440">
        <v>0</v>
      </c>
      <c r="O176" s="440">
        <v>0</v>
      </c>
      <c r="P176" s="440">
        <f>400000+200000+(3*14*30000)+(3*14*30000)+(5*50000)</f>
        <v>3370000</v>
      </c>
      <c r="Q176" s="440">
        <v>0</v>
      </c>
      <c r="R176" s="440">
        <v>0</v>
      </c>
      <c r="S176" s="440">
        <v>0</v>
      </c>
      <c r="T176" s="440">
        <v>0</v>
      </c>
    </row>
    <row r="177" spans="1:20" s="423" customFormat="1" ht="27.75" customHeight="1">
      <c r="A177" s="427"/>
      <c r="B177" s="427"/>
      <c r="C177" s="427"/>
      <c r="D177" s="437"/>
      <c r="E177" s="526">
        <v>4</v>
      </c>
      <c r="F177" s="519">
        <v>4</v>
      </c>
      <c r="G177" s="519" t="s">
        <v>319</v>
      </c>
      <c r="H177" s="483" t="s">
        <v>327</v>
      </c>
      <c r="I177" s="440">
        <f t="shared" si="56"/>
        <v>4500000</v>
      </c>
      <c r="J177" s="527" t="s">
        <v>21</v>
      </c>
      <c r="K177" s="440">
        <v>0</v>
      </c>
      <c r="L177" s="440">
        <v>0</v>
      </c>
      <c r="M177" s="440">
        <v>0</v>
      </c>
      <c r="N177" s="440">
        <v>0</v>
      </c>
      <c r="O177" s="440"/>
      <c r="P177" s="440">
        <v>4500000</v>
      </c>
      <c r="Q177" s="440">
        <v>0</v>
      </c>
      <c r="R177" s="440">
        <v>0</v>
      </c>
      <c r="S177" s="440">
        <v>0</v>
      </c>
      <c r="T177" s="440">
        <v>0</v>
      </c>
    </row>
    <row r="178" spans="1:20" s="423" customFormat="1" ht="27.75" customHeight="1">
      <c r="A178" s="427"/>
      <c r="B178" s="427"/>
      <c r="C178" s="427"/>
      <c r="D178" s="437"/>
      <c r="E178" s="526">
        <v>4</v>
      </c>
      <c r="F178" s="519">
        <v>4</v>
      </c>
      <c r="G178" s="519" t="s">
        <v>1042</v>
      </c>
      <c r="H178" s="483" t="s">
        <v>213</v>
      </c>
      <c r="I178" s="440">
        <f t="shared" si="56"/>
        <v>3370000</v>
      </c>
      <c r="J178" s="527">
        <v>0</v>
      </c>
      <c r="K178" s="440">
        <v>0</v>
      </c>
      <c r="L178" s="440">
        <v>0</v>
      </c>
      <c r="M178" s="440">
        <v>0</v>
      </c>
      <c r="N178" s="440">
        <v>0</v>
      </c>
      <c r="O178" s="440">
        <v>0</v>
      </c>
      <c r="P178" s="440">
        <f>400000+200000+(3*14*30000)+(3*14*30000)+(5*50000)</f>
        <v>3370000</v>
      </c>
      <c r="Q178" s="440">
        <v>0</v>
      </c>
      <c r="R178" s="440">
        <v>0</v>
      </c>
      <c r="S178" s="440">
        <v>0</v>
      </c>
      <c r="T178" s="440">
        <v>0</v>
      </c>
    </row>
    <row r="179" spans="1:20" s="423" customFormat="1" ht="27.75" customHeight="1">
      <c r="A179" s="427"/>
      <c r="B179" s="427"/>
      <c r="C179" s="427"/>
      <c r="D179" s="437"/>
      <c r="E179" s="526">
        <v>4</v>
      </c>
      <c r="F179" s="519">
        <v>4</v>
      </c>
      <c r="G179" s="519" t="s">
        <v>1036</v>
      </c>
      <c r="H179" s="483" t="s">
        <v>214</v>
      </c>
      <c r="I179" s="440">
        <f t="shared" si="56"/>
        <v>3370000</v>
      </c>
      <c r="J179" s="527" t="s">
        <v>21</v>
      </c>
      <c r="K179" s="440">
        <v>0</v>
      </c>
      <c r="L179" s="440">
        <v>0</v>
      </c>
      <c r="M179" s="440">
        <v>0</v>
      </c>
      <c r="N179" s="440">
        <v>0</v>
      </c>
      <c r="O179" s="440"/>
      <c r="P179" s="440">
        <f>400000+200000+(3*14*30000)+(3*14*30000)+(5*50000)</f>
        <v>3370000</v>
      </c>
      <c r="Q179" s="440">
        <v>0</v>
      </c>
      <c r="R179" s="440">
        <v>0</v>
      </c>
      <c r="S179" s="440">
        <v>0</v>
      </c>
      <c r="T179" s="440">
        <v>0</v>
      </c>
    </row>
    <row r="180" spans="1:20" s="423" customFormat="1" ht="27.75" customHeight="1">
      <c r="A180" s="427"/>
      <c r="B180" s="427"/>
      <c r="C180" s="427"/>
      <c r="D180" s="437"/>
      <c r="E180" s="526">
        <v>4</v>
      </c>
      <c r="F180" s="519">
        <v>4</v>
      </c>
      <c r="G180" s="519" t="s">
        <v>1080</v>
      </c>
      <c r="H180" s="483" t="s">
        <v>216</v>
      </c>
      <c r="I180" s="440">
        <f t="shared" si="56"/>
        <v>3370000</v>
      </c>
      <c r="J180" s="527">
        <v>0</v>
      </c>
      <c r="K180" s="440">
        <v>0</v>
      </c>
      <c r="L180" s="440">
        <v>0</v>
      </c>
      <c r="M180" s="440">
        <v>0</v>
      </c>
      <c r="N180" s="440">
        <v>0</v>
      </c>
      <c r="O180" s="440">
        <v>0</v>
      </c>
      <c r="P180" s="440">
        <f>400000+200000+(3*14*30000)+(3*14*30000)+(5*50000)</f>
        <v>3370000</v>
      </c>
      <c r="Q180" s="440">
        <v>0</v>
      </c>
      <c r="R180" s="440">
        <v>0</v>
      </c>
      <c r="S180" s="440">
        <v>0</v>
      </c>
      <c r="T180" s="440">
        <v>0</v>
      </c>
    </row>
    <row r="181" spans="1:20" s="423" customFormat="1" ht="27.75" customHeight="1">
      <c r="A181" s="427"/>
      <c r="B181" s="427"/>
      <c r="C181" s="427"/>
      <c r="D181" s="437"/>
      <c r="E181" s="526">
        <v>4</v>
      </c>
      <c r="F181" s="519">
        <v>4</v>
      </c>
      <c r="G181" s="519" t="s">
        <v>1030</v>
      </c>
      <c r="H181" s="483" t="s">
        <v>328</v>
      </c>
      <c r="I181" s="440">
        <f t="shared" si="56"/>
        <v>3370000</v>
      </c>
      <c r="J181" s="527" t="s">
        <v>21</v>
      </c>
      <c r="K181" s="440">
        <v>0</v>
      </c>
      <c r="L181" s="440">
        <v>0</v>
      </c>
      <c r="M181" s="440">
        <v>0</v>
      </c>
      <c r="N181" s="440">
        <v>0</v>
      </c>
      <c r="O181" s="440"/>
      <c r="P181" s="440">
        <f>400000+200000+(3*14*30000)+(3*14*30000)+(5*50000)</f>
        <v>3370000</v>
      </c>
      <c r="Q181" s="440">
        <v>0</v>
      </c>
      <c r="R181" s="440">
        <v>0</v>
      </c>
      <c r="S181" s="440">
        <v>0</v>
      </c>
      <c r="T181" s="440">
        <v>0</v>
      </c>
    </row>
    <row r="182" spans="1:20" s="423" customFormat="1" ht="37.5">
      <c r="A182" s="427"/>
      <c r="B182" s="427"/>
      <c r="C182" s="427"/>
      <c r="D182" s="437"/>
      <c r="E182" s="526">
        <v>4</v>
      </c>
      <c r="F182" s="519">
        <v>4</v>
      </c>
      <c r="G182" s="519">
        <v>99</v>
      </c>
      <c r="H182" s="483" t="s">
        <v>1087</v>
      </c>
      <c r="I182" s="440">
        <f t="shared" si="56"/>
        <v>0</v>
      </c>
      <c r="J182" s="527">
        <v>0</v>
      </c>
      <c r="K182" s="440">
        <v>0</v>
      </c>
      <c r="L182" s="440">
        <v>0</v>
      </c>
      <c r="M182" s="440">
        <v>0</v>
      </c>
      <c r="N182" s="440">
        <v>0</v>
      </c>
      <c r="O182" s="440">
        <v>0</v>
      </c>
      <c r="P182" s="440">
        <v>0</v>
      </c>
      <c r="Q182" s="440">
        <v>0</v>
      </c>
      <c r="R182" s="440">
        <v>0</v>
      </c>
      <c r="S182" s="440">
        <v>0</v>
      </c>
      <c r="T182" s="440">
        <v>0</v>
      </c>
    </row>
    <row r="183" spans="1:20" s="420" customFormat="1" ht="25.5" customHeight="1">
      <c r="A183" s="496"/>
      <c r="B183" s="496"/>
      <c r="C183" s="496"/>
      <c r="D183" s="444"/>
      <c r="E183" s="444">
        <v>4</v>
      </c>
      <c r="F183" s="507">
        <v>6</v>
      </c>
      <c r="G183" s="507"/>
      <c r="H183" s="515" t="s">
        <v>217</v>
      </c>
      <c r="I183" s="447">
        <f>SUM(I184:I185)</f>
        <v>7000000</v>
      </c>
      <c r="J183" s="448" t="s">
        <v>21</v>
      </c>
      <c r="K183" s="447">
        <f t="shared" ref="K183:T183" si="57">SUM(K184:K185)</f>
        <v>0</v>
      </c>
      <c r="L183" s="447">
        <f t="shared" si="57"/>
        <v>0</v>
      </c>
      <c r="M183" s="447">
        <f t="shared" si="57"/>
        <v>0</v>
      </c>
      <c r="N183" s="447">
        <f t="shared" si="57"/>
        <v>0</v>
      </c>
      <c r="O183" s="447">
        <f t="shared" si="57"/>
        <v>0</v>
      </c>
      <c r="P183" s="447">
        <f t="shared" si="57"/>
        <v>7000000</v>
      </c>
      <c r="Q183" s="447">
        <f t="shared" si="57"/>
        <v>0</v>
      </c>
      <c r="R183" s="447">
        <f t="shared" si="57"/>
        <v>0</v>
      </c>
      <c r="S183" s="447">
        <f t="shared" si="57"/>
        <v>0</v>
      </c>
      <c r="T183" s="447">
        <f t="shared" si="57"/>
        <v>0</v>
      </c>
    </row>
    <row r="184" spans="1:20" s="423" customFormat="1" ht="27.75" customHeight="1">
      <c r="A184" s="427"/>
      <c r="B184" s="427"/>
      <c r="C184" s="427"/>
      <c r="D184" s="437"/>
      <c r="E184" s="437">
        <v>4</v>
      </c>
      <c r="F184" s="519">
        <v>6</v>
      </c>
      <c r="G184" s="519" t="s">
        <v>966</v>
      </c>
      <c r="H184" s="495" t="s">
        <v>1088</v>
      </c>
      <c r="I184" s="440">
        <f>SUM(J184:T184)</f>
        <v>7000000</v>
      </c>
      <c r="J184" s="527" t="s">
        <v>21</v>
      </c>
      <c r="K184" s="440">
        <v>0</v>
      </c>
      <c r="L184" s="440">
        <v>0</v>
      </c>
      <c r="M184" s="440">
        <v>0</v>
      </c>
      <c r="N184" s="440">
        <v>0</v>
      </c>
      <c r="O184" s="440">
        <v>0</v>
      </c>
      <c r="P184" s="440">
        <v>7000000</v>
      </c>
      <c r="Q184" s="440">
        <v>0</v>
      </c>
      <c r="R184" s="440">
        <v>0</v>
      </c>
      <c r="S184" s="440">
        <v>0</v>
      </c>
      <c r="T184" s="440">
        <v>0</v>
      </c>
    </row>
    <row r="185" spans="1:20" s="423" customFormat="1" ht="27.75" customHeight="1">
      <c r="A185" s="427"/>
      <c r="B185" s="427"/>
      <c r="C185" s="427"/>
      <c r="D185" s="437"/>
      <c r="E185" s="437">
        <v>4</v>
      </c>
      <c r="F185" s="519">
        <v>6</v>
      </c>
      <c r="G185" s="519">
        <v>99</v>
      </c>
      <c r="H185" s="495" t="s">
        <v>1089</v>
      </c>
      <c r="I185" s="440">
        <f>SUM(J185:T185)</f>
        <v>0</v>
      </c>
      <c r="J185" s="527" t="s">
        <v>21</v>
      </c>
      <c r="K185" s="440">
        <v>0</v>
      </c>
      <c r="L185" s="440">
        <v>0</v>
      </c>
      <c r="M185" s="440">
        <v>0</v>
      </c>
      <c r="N185" s="440">
        <v>0</v>
      </c>
      <c r="O185" s="440">
        <v>0</v>
      </c>
      <c r="P185" s="440"/>
      <c r="Q185" s="440">
        <v>0</v>
      </c>
      <c r="R185" s="440">
        <v>0</v>
      </c>
      <c r="S185" s="440">
        <v>0</v>
      </c>
      <c r="T185" s="440">
        <v>0</v>
      </c>
    </row>
    <row r="186" spans="1:20" s="420" customFormat="1" ht="25.5" customHeight="1">
      <c r="A186" s="496"/>
      <c r="B186" s="496"/>
      <c r="C186" s="496"/>
      <c r="D186" s="444"/>
      <c r="E186" s="444">
        <v>4</v>
      </c>
      <c r="F186" s="507">
        <v>7</v>
      </c>
      <c r="G186" s="507"/>
      <c r="H186" s="515" t="s">
        <v>1090</v>
      </c>
      <c r="I186" s="447">
        <f>SUM(I187:I188)</f>
        <v>3370000</v>
      </c>
      <c r="J186" s="448" t="s">
        <v>21</v>
      </c>
      <c r="K186" s="447">
        <f>SUM(K187:K188)</f>
        <v>0</v>
      </c>
      <c r="L186" s="447">
        <f t="shared" ref="L186:T186" si="58">SUM(L187:L188)</f>
        <v>0</v>
      </c>
      <c r="M186" s="447">
        <f t="shared" si="58"/>
        <v>0</v>
      </c>
      <c r="N186" s="447">
        <f t="shared" si="58"/>
        <v>0</v>
      </c>
      <c r="O186" s="447">
        <f t="shared" si="58"/>
        <v>0</v>
      </c>
      <c r="P186" s="447">
        <f t="shared" si="58"/>
        <v>3370000</v>
      </c>
      <c r="Q186" s="447">
        <f t="shared" si="58"/>
        <v>0</v>
      </c>
      <c r="R186" s="447">
        <f t="shared" si="58"/>
        <v>0</v>
      </c>
      <c r="S186" s="447">
        <f t="shared" si="58"/>
        <v>0</v>
      </c>
      <c r="T186" s="447">
        <f t="shared" si="58"/>
        <v>0</v>
      </c>
    </row>
    <row r="187" spans="1:20" s="423" customFormat="1" ht="42" customHeight="1">
      <c r="A187" s="427"/>
      <c r="B187" s="427"/>
      <c r="C187" s="427"/>
      <c r="D187" s="437"/>
      <c r="E187" s="437">
        <v>4</v>
      </c>
      <c r="F187" s="519">
        <v>6</v>
      </c>
      <c r="G187" s="519" t="s">
        <v>966</v>
      </c>
      <c r="H187" s="484" t="s">
        <v>332</v>
      </c>
      <c r="I187" s="440">
        <f>SUM(J187:T187)</f>
        <v>3370000</v>
      </c>
      <c r="J187" s="527" t="s">
        <v>21</v>
      </c>
      <c r="K187" s="440">
        <v>0</v>
      </c>
      <c r="L187" s="440">
        <v>0</v>
      </c>
      <c r="M187" s="440">
        <v>0</v>
      </c>
      <c r="N187" s="440">
        <v>0</v>
      </c>
      <c r="O187" s="440">
        <v>0</v>
      </c>
      <c r="P187" s="440">
        <f>400000+200000+(3*14*30000)+(3*14*30000)+(5*50000)</f>
        <v>3370000</v>
      </c>
      <c r="Q187" s="440">
        <v>0</v>
      </c>
      <c r="R187" s="440">
        <v>0</v>
      </c>
      <c r="S187" s="440">
        <v>0</v>
      </c>
      <c r="T187" s="440">
        <v>0</v>
      </c>
    </row>
    <row r="188" spans="1:20" s="423" customFormat="1" ht="27.75" customHeight="1">
      <c r="A188" s="427"/>
      <c r="B188" s="427"/>
      <c r="C188" s="427"/>
      <c r="D188" s="437"/>
      <c r="E188" s="437">
        <v>4</v>
      </c>
      <c r="F188" s="519">
        <v>6</v>
      </c>
      <c r="G188" s="519">
        <v>99</v>
      </c>
      <c r="H188" s="495" t="s">
        <v>1091</v>
      </c>
      <c r="I188" s="440">
        <f>SUM(J188:T188)</f>
        <v>0</v>
      </c>
      <c r="J188" s="527">
        <v>0</v>
      </c>
      <c r="K188" s="440">
        <v>0</v>
      </c>
      <c r="L188" s="440">
        <v>0</v>
      </c>
      <c r="M188" s="440">
        <v>0</v>
      </c>
      <c r="N188" s="440">
        <v>0</v>
      </c>
      <c r="O188" s="440">
        <v>0</v>
      </c>
      <c r="P188" s="440">
        <v>0</v>
      </c>
      <c r="Q188" s="440">
        <v>0</v>
      </c>
      <c r="R188" s="440">
        <v>0</v>
      </c>
      <c r="S188" s="440">
        <v>0</v>
      </c>
      <c r="T188" s="440">
        <v>0</v>
      </c>
    </row>
    <row r="189" spans="1:20" s="420" customFormat="1" ht="39.75" customHeight="1">
      <c r="A189" s="450"/>
      <c r="B189" s="450"/>
      <c r="C189" s="450"/>
      <c r="D189" s="505"/>
      <c r="E189" s="451">
        <v>5</v>
      </c>
      <c r="F189" s="506"/>
      <c r="G189" s="506"/>
      <c r="H189" s="452" t="s">
        <v>1092</v>
      </c>
      <c r="I189" s="453">
        <f>I190+I192+I194</f>
        <v>107000000</v>
      </c>
      <c r="J189" s="538" t="s">
        <v>914</v>
      </c>
      <c r="K189" s="453">
        <f t="shared" ref="K189:T189" si="59">K190+K192+K194</f>
        <v>0</v>
      </c>
      <c r="L189" s="453">
        <f t="shared" si="59"/>
        <v>0</v>
      </c>
      <c r="M189" s="453">
        <f t="shared" si="59"/>
        <v>0</v>
      </c>
      <c r="N189" s="453">
        <f t="shared" si="59"/>
        <v>0</v>
      </c>
      <c r="O189" s="453">
        <f t="shared" si="59"/>
        <v>0</v>
      </c>
      <c r="P189" s="453">
        <f t="shared" si="59"/>
        <v>107000000</v>
      </c>
      <c r="Q189" s="453">
        <f t="shared" si="59"/>
        <v>0</v>
      </c>
      <c r="R189" s="453">
        <f t="shared" si="59"/>
        <v>0</v>
      </c>
      <c r="S189" s="453">
        <f t="shared" si="59"/>
        <v>0</v>
      </c>
      <c r="T189" s="453">
        <f t="shared" si="59"/>
        <v>0</v>
      </c>
    </row>
    <row r="190" spans="1:20" s="420" customFormat="1" ht="25.5" customHeight="1">
      <c r="A190" s="539"/>
      <c r="B190" s="539"/>
      <c r="C190" s="539"/>
      <c r="D190" s="437"/>
      <c r="E190" s="428">
        <v>5</v>
      </c>
      <c r="F190" s="540">
        <v>1</v>
      </c>
      <c r="G190" s="428"/>
      <c r="H190" s="429" t="s">
        <v>1093</v>
      </c>
      <c r="I190" s="431">
        <f>SUM(I191)</f>
        <v>35000000</v>
      </c>
      <c r="J190" s="432" t="s">
        <v>914</v>
      </c>
      <c r="K190" s="431">
        <f t="shared" ref="K190:T190" si="60">SUM(K191)</f>
        <v>0</v>
      </c>
      <c r="L190" s="431">
        <f t="shared" si="60"/>
        <v>0</v>
      </c>
      <c r="M190" s="431">
        <f t="shared" si="60"/>
        <v>0</v>
      </c>
      <c r="N190" s="431">
        <f t="shared" si="60"/>
        <v>0</v>
      </c>
      <c r="O190" s="431">
        <f t="shared" si="60"/>
        <v>0</v>
      </c>
      <c r="P190" s="431">
        <f t="shared" si="60"/>
        <v>35000000</v>
      </c>
      <c r="Q190" s="431">
        <f t="shared" si="60"/>
        <v>0</v>
      </c>
      <c r="R190" s="431">
        <f t="shared" si="60"/>
        <v>0</v>
      </c>
      <c r="S190" s="431">
        <f t="shared" si="60"/>
        <v>0</v>
      </c>
      <c r="T190" s="431">
        <f t="shared" si="60"/>
        <v>0</v>
      </c>
    </row>
    <row r="191" spans="1:20" s="436" customFormat="1" ht="25.5" customHeight="1">
      <c r="A191" s="541"/>
      <c r="B191" s="541"/>
      <c r="C191" s="541"/>
      <c r="D191" s="437"/>
      <c r="E191" s="433">
        <v>5</v>
      </c>
      <c r="F191" s="542">
        <v>1</v>
      </c>
      <c r="G191" s="542" t="s">
        <v>960</v>
      </c>
      <c r="H191" s="434" t="s">
        <v>1093</v>
      </c>
      <c r="I191" s="543">
        <f>SUM(J191:T191)</f>
        <v>35000000</v>
      </c>
      <c r="J191" s="544" t="s">
        <v>914</v>
      </c>
      <c r="K191" s="543">
        <v>0</v>
      </c>
      <c r="L191" s="543">
        <v>0</v>
      </c>
      <c r="M191" s="543">
        <v>0</v>
      </c>
      <c r="N191" s="543">
        <v>0</v>
      </c>
      <c r="O191" s="543">
        <v>0</v>
      </c>
      <c r="P191" s="543">
        <v>35000000</v>
      </c>
      <c r="Q191" s="543"/>
      <c r="R191" s="543">
        <v>0</v>
      </c>
      <c r="S191" s="543">
        <v>0</v>
      </c>
      <c r="T191" s="543">
        <v>0</v>
      </c>
    </row>
    <row r="192" spans="1:20" s="420" customFormat="1" ht="25.5" customHeight="1">
      <c r="A192" s="539"/>
      <c r="B192" s="539"/>
      <c r="C192" s="539"/>
      <c r="D192" s="437"/>
      <c r="E192" s="428">
        <v>5</v>
      </c>
      <c r="F192" s="540">
        <v>2</v>
      </c>
      <c r="G192" s="428"/>
      <c r="H192" s="429" t="s">
        <v>1094</v>
      </c>
      <c r="I192" s="431">
        <f>SUM(I193)</f>
        <v>0</v>
      </c>
      <c r="J192" s="432" t="s">
        <v>914</v>
      </c>
      <c r="K192" s="431">
        <f t="shared" ref="K192:T192" si="61">SUM(K193)</f>
        <v>0</v>
      </c>
      <c r="L192" s="431">
        <f t="shared" si="61"/>
        <v>0</v>
      </c>
      <c r="M192" s="431">
        <f t="shared" si="61"/>
        <v>0</v>
      </c>
      <c r="N192" s="431">
        <f t="shared" si="61"/>
        <v>0</v>
      </c>
      <c r="O192" s="431">
        <f t="shared" si="61"/>
        <v>0</v>
      </c>
      <c r="P192" s="431">
        <f t="shared" si="61"/>
        <v>0</v>
      </c>
      <c r="Q192" s="431">
        <f t="shared" si="61"/>
        <v>0</v>
      </c>
      <c r="R192" s="431">
        <f t="shared" si="61"/>
        <v>0</v>
      </c>
      <c r="S192" s="431">
        <f t="shared" si="61"/>
        <v>0</v>
      </c>
      <c r="T192" s="431">
        <f t="shared" si="61"/>
        <v>0</v>
      </c>
    </row>
    <row r="193" spans="1:20" s="436" customFormat="1" ht="25.5" customHeight="1">
      <c r="A193" s="541"/>
      <c r="B193" s="541"/>
      <c r="C193" s="541"/>
      <c r="D193" s="437"/>
      <c r="E193" s="433">
        <v>5</v>
      </c>
      <c r="F193" s="542">
        <v>2</v>
      </c>
      <c r="G193" s="542" t="s">
        <v>960</v>
      </c>
      <c r="H193" s="434" t="s">
        <v>1094</v>
      </c>
      <c r="I193" s="543">
        <f>SUM(J193:T193)</f>
        <v>0</v>
      </c>
      <c r="J193" s="544" t="s">
        <v>914</v>
      </c>
      <c r="K193" s="543">
        <v>0</v>
      </c>
      <c r="L193" s="543">
        <v>0</v>
      </c>
      <c r="M193" s="543">
        <v>0</v>
      </c>
      <c r="N193" s="543">
        <v>0</v>
      </c>
      <c r="O193" s="543">
        <v>0</v>
      </c>
      <c r="P193" s="543"/>
      <c r="Q193" s="543"/>
      <c r="R193" s="543">
        <v>0</v>
      </c>
      <c r="S193" s="543">
        <v>0</v>
      </c>
      <c r="T193" s="543">
        <v>0</v>
      </c>
    </row>
    <row r="194" spans="1:20" s="420" customFormat="1" ht="25.5" customHeight="1">
      <c r="A194" s="539"/>
      <c r="B194" s="539"/>
      <c r="C194" s="539"/>
      <c r="D194" s="437"/>
      <c r="E194" s="428">
        <v>5</v>
      </c>
      <c r="F194" s="540">
        <v>3</v>
      </c>
      <c r="G194" s="428"/>
      <c r="H194" s="429" t="s">
        <v>1095</v>
      </c>
      <c r="I194" s="431">
        <f>SUM(I195)</f>
        <v>72000000</v>
      </c>
      <c r="J194" s="432" t="s">
        <v>914</v>
      </c>
      <c r="K194" s="431">
        <f t="shared" ref="K194:T194" si="62">SUM(K195)</f>
        <v>0</v>
      </c>
      <c r="L194" s="431">
        <f t="shared" si="62"/>
        <v>0</v>
      </c>
      <c r="M194" s="431">
        <f t="shared" si="62"/>
        <v>0</v>
      </c>
      <c r="N194" s="431">
        <f t="shared" si="62"/>
        <v>0</v>
      </c>
      <c r="O194" s="431">
        <f t="shared" si="62"/>
        <v>0</v>
      </c>
      <c r="P194" s="431">
        <f t="shared" si="62"/>
        <v>72000000</v>
      </c>
      <c r="Q194" s="431">
        <f t="shared" si="62"/>
        <v>0</v>
      </c>
      <c r="R194" s="431">
        <f t="shared" si="62"/>
        <v>0</v>
      </c>
      <c r="S194" s="431">
        <f t="shared" si="62"/>
        <v>0</v>
      </c>
      <c r="T194" s="431">
        <f t="shared" si="62"/>
        <v>0</v>
      </c>
    </row>
    <row r="195" spans="1:20" s="436" customFormat="1" ht="25.5" customHeight="1">
      <c r="A195" s="541"/>
      <c r="B195" s="541"/>
      <c r="C195" s="541"/>
      <c r="D195" s="437"/>
      <c r="E195" s="433">
        <v>5</v>
      </c>
      <c r="F195" s="542">
        <v>3</v>
      </c>
      <c r="G195" s="542" t="s">
        <v>960</v>
      </c>
      <c r="H195" s="434" t="s">
        <v>1095</v>
      </c>
      <c r="I195" s="543">
        <f>SUM(J195:T195)</f>
        <v>72000000</v>
      </c>
      <c r="J195" s="544" t="s">
        <v>914</v>
      </c>
      <c r="K195" s="543">
        <v>0</v>
      </c>
      <c r="L195" s="543">
        <v>0</v>
      </c>
      <c r="M195" s="543">
        <v>0</v>
      </c>
      <c r="N195" s="543">
        <v>0</v>
      </c>
      <c r="O195" s="543">
        <v>0</v>
      </c>
      <c r="P195" s="543">
        <f>300000*20*12</f>
        <v>72000000</v>
      </c>
      <c r="Q195" s="543"/>
      <c r="R195" s="543">
        <v>0</v>
      </c>
      <c r="S195" s="543">
        <v>0</v>
      </c>
      <c r="T195" s="543">
        <v>0</v>
      </c>
    </row>
    <row r="196" spans="1:20" s="423" customFormat="1" ht="25.5" customHeight="1">
      <c r="A196" s="545"/>
      <c r="B196" s="546"/>
      <c r="C196" s="546"/>
      <c r="D196" s="545"/>
      <c r="E196" s="545"/>
      <c r="F196" s="545"/>
      <c r="G196" s="547"/>
      <c r="H196" s="548"/>
      <c r="I196" s="440"/>
      <c r="J196" s="441"/>
      <c r="K196" s="442"/>
      <c r="L196" s="442"/>
      <c r="M196" s="442"/>
      <c r="N196" s="442"/>
      <c r="O196" s="442"/>
      <c r="P196" s="442"/>
      <c r="Q196" s="442"/>
      <c r="R196" s="442"/>
      <c r="S196" s="442"/>
      <c r="T196" s="442"/>
    </row>
    <row r="197" spans="1:20" s="423" customFormat="1" ht="25.5" customHeight="1">
      <c r="A197" s="437"/>
      <c r="B197" s="437"/>
      <c r="C197" s="437"/>
      <c r="D197" s="437"/>
      <c r="E197" s="437"/>
      <c r="F197" s="437"/>
      <c r="G197" s="443"/>
      <c r="H197" s="438"/>
      <c r="I197" s="440"/>
      <c r="J197" s="441"/>
      <c r="K197" s="442"/>
      <c r="L197" s="442"/>
      <c r="M197" s="442"/>
      <c r="N197" s="442"/>
      <c r="O197" s="442"/>
      <c r="P197" s="442"/>
      <c r="Q197" s="442"/>
      <c r="R197" s="442"/>
      <c r="S197" s="442"/>
      <c r="T197" s="442"/>
    </row>
    <row r="198" spans="1:20" s="423" customFormat="1" ht="25.5" customHeight="1">
      <c r="A198" s="437"/>
      <c r="B198" s="437"/>
      <c r="C198" s="437"/>
      <c r="D198" s="437"/>
      <c r="E198" s="437"/>
      <c r="F198" s="437"/>
      <c r="G198" s="443"/>
      <c r="H198" s="429" t="s">
        <v>1096</v>
      </c>
      <c r="I198" s="440">
        <f>I66</f>
        <v>2637612480</v>
      </c>
      <c r="J198" s="527"/>
      <c r="K198" s="440">
        <f t="shared" ref="K198:T198" si="63">K66</f>
        <v>8000000</v>
      </c>
      <c r="L198" s="440">
        <f t="shared" si="63"/>
        <v>3600000</v>
      </c>
      <c r="M198" s="440">
        <f t="shared" si="63"/>
        <v>0</v>
      </c>
      <c r="N198" s="440">
        <f t="shared" si="63"/>
        <v>2250000</v>
      </c>
      <c r="O198" s="440">
        <f t="shared" si="63"/>
        <v>1500000</v>
      </c>
      <c r="P198" s="440">
        <f t="shared" si="63"/>
        <v>1306961780</v>
      </c>
      <c r="Q198" s="440">
        <f t="shared" si="63"/>
        <v>867093200</v>
      </c>
      <c r="R198" s="440">
        <f t="shared" si="63"/>
        <v>69807500</v>
      </c>
      <c r="S198" s="440">
        <f t="shared" si="63"/>
        <v>350000000</v>
      </c>
      <c r="T198" s="549">
        <f t="shared" si="63"/>
        <v>28400000</v>
      </c>
    </row>
    <row r="199" spans="1:20" s="423" customFormat="1" ht="25.5" customHeight="1">
      <c r="A199" s="437"/>
      <c r="B199" s="437"/>
      <c r="C199" s="437"/>
      <c r="D199" s="437"/>
      <c r="E199" s="437"/>
      <c r="F199" s="437"/>
      <c r="G199" s="443"/>
      <c r="H199" s="429" t="s">
        <v>1097</v>
      </c>
      <c r="I199" s="440">
        <f>I12-I66</f>
        <v>-136685780</v>
      </c>
      <c r="J199" s="527"/>
      <c r="K199" s="440">
        <f t="shared" ref="K199:T199" si="64">K12-K66</f>
        <v>0</v>
      </c>
      <c r="L199" s="440">
        <f t="shared" si="64"/>
        <v>0</v>
      </c>
      <c r="M199" s="440">
        <f t="shared" si="64"/>
        <v>0</v>
      </c>
      <c r="N199" s="440">
        <f t="shared" si="64"/>
        <v>0</v>
      </c>
      <c r="O199" s="440">
        <f t="shared" si="64"/>
        <v>0</v>
      </c>
      <c r="P199" s="440">
        <f t="shared" si="64"/>
        <v>-108285780</v>
      </c>
      <c r="Q199" s="440">
        <f t="shared" si="64"/>
        <v>0</v>
      </c>
      <c r="R199" s="440">
        <f t="shared" si="64"/>
        <v>0</v>
      </c>
      <c r="S199" s="440">
        <f t="shared" si="64"/>
        <v>0</v>
      </c>
      <c r="T199" s="549">
        <f t="shared" si="64"/>
        <v>-28400000</v>
      </c>
    </row>
    <row r="200" spans="1:20" s="423" customFormat="1" ht="25.5" customHeight="1">
      <c r="A200" s="437"/>
      <c r="B200" s="437"/>
      <c r="C200" s="437"/>
      <c r="D200" s="437"/>
      <c r="E200" s="437"/>
      <c r="F200" s="437"/>
      <c r="G200" s="443"/>
      <c r="H200" s="438"/>
      <c r="I200" s="440"/>
      <c r="J200" s="441"/>
      <c r="K200" s="442"/>
      <c r="L200" s="442"/>
      <c r="M200" s="442"/>
      <c r="N200" s="442"/>
      <c r="O200" s="442"/>
      <c r="P200" s="442"/>
      <c r="Q200" s="442"/>
      <c r="R200" s="442"/>
      <c r="S200" s="442"/>
      <c r="T200" s="550"/>
    </row>
    <row r="201" spans="1:20" s="420" customFormat="1" ht="25.5" customHeight="1">
      <c r="A201" s="428"/>
      <c r="B201" s="428"/>
      <c r="C201" s="428"/>
      <c r="D201" s="428">
        <v>6</v>
      </c>
      <c r="E201" s="428"/>
      <c r="F201" s="428"/>
      <c r="G201" s="430"/>
      <c r="H201" s="429" t="s">
        <v>1098</v>
      </c>
      <c r="I201" s="431">
        <f>SUM(I202)</f>
        <v>48400000</v>
      </c>
      <c r="J201" s="432">
        <f t="shared" ref="J201:S201" si="65">SUM(J202)</f>
        <v>0</v>
      </c>
      <c r="K201" s="431">
        <f t="shared" si="65"/>
        <v>0</v>
      </c>
      <c r="L201" s="431">
        <f t="shared" si="65"/>
        <v>0</v>
      </c>
      <c r="M201" s="431">
        <f t="shared" si="65"/>
        <v>0</v>
      </c>
      <c r="N201" s="431">
        <f t="shared" si="65"/>
        <v>0</v>
      </c>
      <c r="O201" s="431">
        <f t="shared" si="65"/>
        <v>0</v>
      </c>
      <c r="P201" s="431">
        <f t="shared" si="65"/>
        <v>0</v>
      </c>
      <c r="Q201" s="431">
        <f t="shared" si="65"/>
        <v>0</v>
      </c>
      <c r="R201" s="431">
        <f t="shared" si="65"/>
        <v>0</v>
      </c>
      <c r="S201" s="431">
        <f t="shared" si="65"/>
        <v>0</v>
      </c>
      <c r="T201" s="551">
        <f>SUM(T202)</f>
        <v>48400000</v>
      </c>
    </row>
    <row r="202" spans="1:20" s="420" customFormat="1" ht="22.5" customHeight="1">
      <c r="A202" s="428"/>
      <c r="B202" s="428"/>
      <c r="C202" s="428"/>
      <c r="D202" s="428">
        <v>6</v>
      </c>
      <c r="E202" s="428">
        <v>1</v>
      </c>
      <c r="F202" s="428"/>
      <c r="G202" s="430"/>
      <c r="H202" s="429" t="s">
        <v>1099</v>
      </c>
      <c r="I202" s="431">
        <f>I203+I205+I207+I209</f>
        <v>48400000</v>
      </c>
      <c r="J202" s="432">
        <f t="shared" ref="J202:S202" si="66">J203+J205+J207+J209</f>
        <v>0</v>
      </c>
      <c r="K202" s="431">
        <f t="shared" si="66"/>
        <v>0</v>
      </c>
      <c r="L202" s="431">
        <f t="shared" si="66"/>
        <v>0</v>
      </c>
      <c r="M202" s="431">
        <f t="shared" si="66"/>
        <v>0</v>
      </c>
      <c r="N202" s="431">
        <f t="shared" si="66"/>
        <v>0</v>
      </c>
      <c r="O202" s="431">
        <f t="shared" si="66"/>
        <v>0</v>
      </c>
      <c r="P202" s="431">
        <f t="shared" si="66"/>
        <v>0</v>
      </c>
      <c r="Q202" s="431">
        <f t="shared" si="66"/>
        <v>0</v>
      </c>
      <c r="R202" s="431">
        <f t="shared" si="66"/>
        <v>0</v>
      </c>
      <c r="S202" s="431">
        <f t="shared" si="66"/>
        <v>0</v>
      </c>
      <c r="T202" s="551">
        <f>T203+T205+T207+T209</f>
        <v>48400000</v>
      </c>
    </row>
    <row r="203" spans="1:20" s="420" customFormat="1" ht="22.5" customHeight="1">
      <c r="A203" s="428"/>
      <c r="B203" s="428"/>
      <c r="C203" s="428"/>
      <c r="D203" s="428">
        <v>6</v>
      </c>
      <c r="E203" s="428">
        <v>1</v>
      </c>
      <c r="F203" s="428">
        <v>1</v>
      </c>
      <c r="G203" s="430"/>
      <c r="H203" s="429" t="s">
        <v>1100</v>
      </c>
      <c r="I203" s="431">
        <f>SUM(I204)</f>
        <v>48400000</v>
      </c>
      <c r="J203" s="432">
        <f t="shared" ref="J203:S203" si="67">SUM(J204)</f>
        <v>0</v>
      </c>
      <c r="K203" s="431">
        <f t="shared" si="67"/>
        <v>0</v>
      </c>
      <c r="L203" s="431">
        <f t="shared" si="67"/>
        <v>0</v>
      </c>
      <c r="M203" s="431">
        <f t="shared" si="67"/>
        <v>0</v>
      </c>
      <c r="N203" s="431">
        <f t="shared" si="67"/>
        <v>0</v>
      </c>
      <c r="O203" s="431">
        <f t="shared" si="67"/>
        <v>0</v>
      </c>
      <c r="P203" s="431">
        <f t="shared" si="67"/>
        <v>0</v>
      </c>
      <c r="Q203" s="431">
        <f t="shared" si="67"/>
        <v>0</v>
      </c>
      <c r="R203" s="431">
        <f t="shared" si="67"/>
        <v>0</v>
      </c>
      <c r="S203" s="431">
        <f t="shared" si="67"/>
        <v>0</v>
      </c>
      <c r="T203" s="551">
        <f>SUM(T204)</f>
        <v>48400000</v>
      </c>
    </row>
    <row r="204" spans="1:20" s="423" customFormat="1" ht="22.5" customHeight="1">
      <c r="A204" s="437"/>
      <c r="B204" s="437"/>
      <c r="C204" s="437"/>
      <c r="D204" s="437">
        <v>6</v>
      </c>
      <c r="E204" s="437">
        <v>1</v>
      </c>
      <c r="F204" s="437">
        <v>1</v>
      </c>
      <c r="G204" s="443">
        <v>1</v>
      </c>
      <c r="H204" s="438" t="s">
        <v>1100</v>
      </c>
      <c r="I204" s="440">
        <f>SUM(J204:T204)</f>
        <v>48400000</v>
      </c>
      <c r="J204" s="527"/>
      <c r="K204" s="440">
        <v>0</v>
      </c>
      <c r="L204" s="440">
        <v>0</v>
      </c>
      <c r="M204" s="440">
        <v>0</v>
      </c>
      <c r="N204" s="440">
        <v>0</v>
      </c>
      <c r="O204" s="440">
        <v>0</v>
      </c>
      <c r="P204" s="440"/>
      <c r="Q204" s="440">
        <v>0</v>
      </c>
      <c r="R204" s="440">
        <v>0</v>
      </c>
      <c r="S204" s="440">
        <v>0</v>
      </c>
      <c r="T204" s="440">
        <v>48400000</v>
      </c>
    </row>
    <row r="205" spans="1:20" s="420" customFormat="1" ht="22.5" customHeight="1">
      <c r="A205" s="428"/>
      <c r="B205" s="428"/>
      <c r="C205" s="428"/>
      <c r="D205" s="428">
        <v>6</v>
      </c>
      <c r="E205" s="428">
        <v>1</v>
      </c>
      <c r="F205" s="428">
        <v>2</v>
      </c>
      <c r="G205" s="430"/>
      <c r="H205" s="552" t="s">
        <v>1101</v>
      </c>
      <c r="I205" s="431">
        <f>SUM(I206)</f>
        <v>0</v>
      </c>
      <c r="J205" s="432">
        <f t="shared" ref="J205:T205" si="68">SUM(J206)</f>
        <v>0</v>
      </c>
      <c r="K205" s="431">
        <f t="shared" si="68"/>
        <v>0</v>
      </c>
      <c r="L205" s="431">
        <f t="shared" si="68"/>
        <v>0</v>
      </c>
      <c r="M205" s="431">
        <f t="shared" si="68"/>
        <v>0</v>
      </c>
      <c r="N205" s="431">
        <f t="shared" si="68"/>
        <v>0</v>
      </c>
      <c r="O205" s="431">
        <f t="shared" si="68"/>
        <v>0</v>
      </c>
      <c r="P205" s="431">
        <f t="shared" si="68"/>
        <v>0</v>
      </c>
      <c r="Q205" s="431">
        <f t="shared" si="68"/>
        <v>0</v>
      </c>
      <c r="R205" s="431">
        <f t="shared" si="68"/>
        <v>0</v>
      </c>
      <c r="S205" s="431">
        <f t="shared" si="68"/>
        <v>0</v>
      </c>
      <c r="T205" s="551">
        <f t="shared" si="68"/>
        <v>0</v>
      </c>
    </row>
    <row r="206" spans="1:20" s="423" customFormat="1" ht="22.5" customHeight="1">
      <c r="A206" s="437"/>
      <c r="B206" s="437"/>
      <c r="C206" s="437"/>
      <c r="D206" s="437">
        <v>6</v>
      </c>
      <c r="E206" s="437">
        <v>1</v>
      </c>
      <c r="F206" s="437">
        <v>2</v>
      </c>
      <c r="G206" s="443">
        <v>1</v>
      </c>
      <c r="H206" s="553" t="s">
        <v>1101</v>
      </c>
      <c r="I206" s="440">
        <f>SUM(J206:T206)</f>
        <v>0</v>
      </c>
      <c r="J206" s="441"/>
      <c r="K206" s="442"/>
      <c r="L206" s="442"/>
      <c r="M206" s="442"/>
      <c r="N206" s="442"/>
      <c r="O206" s="442"/>
      <c r="P206" s="442"/>
      <c r="Q206" s="442"/>
      <c r="R206" s="442"/>
      <c r="S206" s="442"/>
      <c r="T206" s="550"/>
    </row>
    <row r="207" spans="1:20" s="420" customFormat="1" ht="22.5" customHeight="1">
      <c r="A207" s="428"/>
      <c r="B207" s="428"/>
      <c r="C207" s="428"/>
      <c r="D207" s="428">
        <v>6</v>
      </c>
      <c r="E207" s="428">
        <v>1</v>
      </c>
      <c r="F207" s="428">
        <v>3</v>
      </c>
      <c r="G207" s="430"/>
      <c r="H207" s="429" t="s">
        <v>1102</v>
      </c>
      <c r="I207" s="431">
        <v>0</v>
      </c>
      <c r="J207" s="432">
        <v>0</v>
      </c>
      <c r="K207" s="431">
        <v>0</v>
      </c>
      <c r="L207" s="431">
        <v>0</v>
      </c>
      <c r="M207" s="431">
        <v>0</v>
      </c>
      <c r="N207" s="431">
        <v>0</v>
      </c>
      <c r="O207" s="431">
        <v>0</v>
      </c>
      <c r="P207" s="431">
        <v>0</v>
      </c>
      <c r="Q207" s="431">
        <v>0</v>
      </c>
      <c r="R207" s="431">
        <v>0</v>
      </c>
      <c r="S207" s="431">
        <v>0</v>
      </c>
      <c r="T207" s="551">
        <v>0</v>
      </c>
    </row>
    <row r="208" spans="1:20" s="423" customFormat="1" ht="22.5" customHeight="1">
      <c r="A208" s="437"/>
      <c r="B208" s="437"/>
      <c r="C208" s="437"/>
      <c r="D208" s="437">
        <v>6</v>
      </c>
      <c r="E208" s="437">
        <v>1</v>
      </c>
      <c r="F208" s="437">
        <v>3</v>
      </c>
      <c r="G208" s="443">
        <v>1</v>
      </c>
      <c r="H208" s="438" t="s">
        <v>1102</v>
      </c>
      <c r="I208" s="440">
        <v>0</v>
      </c>
      <c r="J208" s="441"/>
      <c r="K208" s="442"/>
      <c r="L208" s="442"/>
      <c r="M208" s="442"/>
      <c r="N208" s="442"/>
      <c r="O208" s="442"/>
      <c r="P208" s="442"/>
      <c r="Q208" s="442"/>
      <c r="R208" s="442"/>
      <c r="S208" s="442"/>
      <c r="T208" s="550"/>
    </row>
    <row r="209" spans="1:20" s="420" customFormat="1" ht="22.5" customHeight="1">
      <c r="A209" s="428"/>
      <c r="B209" s="428"/>
      <c r="C209" s="428"/>
      <c r="D209" s="428">
        <v>6</v>
      </c>
      <c r="E209" s="428">
        <v>1</v>
      </c>
      <c r="F209" s="428">
        <v>9</v>
      </c>
      <c r="G209" s="430"/>
      <c r="H209" s="429" t="s">
        <v>1103</v>
      </c>
      <c r="I209" s="431">
        <f>SUM(I210)</f>
        <v>0</v>
      </c>
      <c r="J209" s="432">
        <f t="shared" ref="J209:T209" si="69">SUM(J210)</f>
        <v>0</v>
      </c>
      <c r="K209" s="431">
        <f t="shared" si="69"/>
        <v>0</v>
      </c>
      <c r="L209" s="431">
        <f t="shared" si="69"/>
        <v>0</v>
      </c>
      <c r="M209" s="431">
        <f t="shared" si="69"/>
        <v>0</v>
      </c>
      <c r="N209" s="431">
        <f t="shared" si="69"/>
        <v>0</v>
      </c>
      <c r="O209" s="431">
        <f t="shared" si="69"/>
        <v>0</v>
      </c>
      <c r="P209" s="431">
        <f t="shared" si="69"/>
        <v>0</v>
      </c>
      <c r="Q209" s="431">
        <f t="shared" si="69"/>
        <v>0</v>
      </c>
      <c r="R209" s="431">
        <f t="shared" si="69"/>
        <v>0</v>
      </c>
      <c r="S209" s="431">
        <f t="shared" si="69"/>
        <v>0</v>
      </c>
      <c r="T209" s="551">
        <f t="shared" si="69"/>
        <v>0</v>
      </c>
    </row>
    <row r="210" spans="1:20" s="423" customFormat="1" ht="22.5" customHeight="1">
      <c r="A210" s="437"/>
      <c r="B210" s="437"/>
      <c r="C210" s="437"/>
      <c r="D210" s="437">
        <v>6</v>
      </c>
      <c r="E210" s="437">
        <v>1</v>
      </c>
      <c r="F210" s="437">
        <v>9</v>
      </c>
      <c r="G210" s="443">
        <v>1</v>
      </c>
      <c r="H210" s="438" t="s">
        <v>1103</v>
      </c>
      <c r="I210" s="440">
        <f>SUM(J210:T210)</f>
        <v>0</v>
      </c>
      <c r="J210" s="441"/>
      <c r="K210" s="442"/>
      <c r="L210" s="442"/>
      <c r="M210" s="442"/>
      <c r="N210" s="442"/>
      <c r="O210" s="442"/>
      <c r="P210" s="442"/>
      <c r="Q210" s="442"/>
      <c r="R210" s="442"/>
      <c r="S210" s="442"/>
      <c r="T210" s="550"/>
    </row>
    <row r="211" spans="1:20" s="423" customFormat="1" ht="22.5" customHeight="1">
      <c r="A211" s="437"/>
      <c r="B211" s="437"/>
      <c r="C211" s="437"/>
      <c r="D211" s="437">
        <v>6</v>
      </c>
      <c r="E211" s="437">
        <v>2</v>
      </c>
      <c r="F211" s="437"/>
      <c r="G211" s="443"/>
      <c r="H211" s="429" t="s">
        <v>1104</v>
      </c>
      <c r="I211" s="440">
        <f>I212+I214+I216</f>
        <v>20000000</v>
      </c>
      <c r="J211" s="527">
        <f t="shared" ref="J211:T211" si="70">J212+J214+J216</f>
        <v>0</v>
      </c>
      <c r="K211" s="440">
        <f t="shared" si="70"/>
        <v>0</v>
      </c>
      <c r="L211" s="440">
        <f t="shared" si="70"/>
        <v>0</v>
      </c>
      <c r="M211" s="440">
        <f t="shared" si="70"/>
        <v>0</v>
      </c>
      <c r="N211" s="440">
        <f t="shared" si="70"/>
        <v>0</v>
      </c>
      <c r="O211" s="440">
        <f t="shared" si="70"/>
        <v>0</v>
      </c>
      <c r="P211" s="440">
        <f t="shared" si="70"/>
        <v>0</v>
      </c>
      <c r="Q211" s="440">
        <f t="shared" si="70"/>
        <v>0</v>
      </c>
      <c r="R211" s="440">
        <f t="shared" si="70"/>
        <v>0</v>
      </c>
      <c r="S211" s="440">
        <f t="shared" si="70"/>
        <v>0</v>
      </c>
      <c r="T211" s="549">
        <f t="shared" si="70"/>
        <v>20000000</v>
      </c>
    </row>
    <row r="212" spans="1:20" s="420" customFormat="1" ht="22.5" customHeight="1">
      <c r="A212" s="428"/>
      <c r="B212" s="428"/>
      <c r="C212" s="428"/>
      <c r="D212" s="428">
        <v>6</v>
      </c>
      <c r="E212" s="428">
        <v>2</v>
      </c>
      <c r="F212" s="428">
        <v>1</v>
      </c>
      <c r="G212" s="430"/>
      <c r="H212" s="429" t="s">
        <v>1105</v>
      </c>
      <c r="I212" s="431">
        <f>SUM(I213)</f>
        <v>20000000</v>
      </c>
      <c r="J212" s="432">
        <f t="shared" ref="J212:T212" si="71">SUM(J213)</f>
        <v>0</v>
      </c>
      <c r="K212" s="431">
        <f t="shared" si="71"/>
        <v>0</v>
      </c>
      <c r="L212" s="431">
        <f t="shared" si="71"/>
        <v>0</v>
      </c>
      <c r="M212" s="431">
        <f t="shared" si="71"/>
        <v>0</v>
      </c>
      <c r="N212" s="431">
        <f t="shared" si="71"/>
        <v>0</v>
      </c>
      <c r="O212" s="431">
        <f t="shared" si="71"/>
        <v>0</v>
      </c>
      <c r="P212" s="431">
        <f t="shared" si="71"/>
        <v>0</v>
      </c>
      <c r="Q212" s="431">
        <f t="shared" si="71"/>
        <v>0</v>
      </c>
      <c r="R212" s="431">
        <f t="shared" si="71"/>
        <v>0</v>
      </c>
      <c r="S212" s="431">
        <f t="shared" si="71"/>
        <v>0</v>
      </c>
      <c r="T212" s="551">
        <f t="shared" si="71"/>
        <v>20000000</v>
      </c>
    </row>
    <row r="213" spans="1:20" s="423" customFormat="1" ht="22.5" customHeight="1">
      <c r="A213" s="437"/>
      <c r="B213" s="437"/>
      <c r="C213" s="437"/>
      <c r="D213" s="437">
        <v>6</v>
      </c>
      <c r="E213" s="437">
        <v>2</v>
      </c>
      <c r="F213" s="437">
        <v>1</v>
      </c>
      <c r="G213" s="443">
        <v>1</v>
      </c>
      <c r="H213" s="438" t="s">
        <v>1105</v>
      </c>
      <c r="I213" s="440">
        <f>SUM(J213:T213)</f>
        <v>20000000</v>
      </c>
      <c r="J213" s="441"/>
      <c r="K213" s="442"/>
      <c r="L213" s="442"/>
      <c r="M213" s="442"/>
      <c r="N213" s="442"/>
      <c r="O213" s="442"/>
      <c r="P213" s="442"/>
      <c r="Q213" s="442"/>
      <c r="R213" s="442"/>
      <c r="S213" s="442"/>
      <c r="T213" s="550">
        <v>20000000</v>
      </c>
    </row>
    <row r="214" spans="1:20" s="420" customFormat="1" ht="22.5" customHeight="1">
      <c r="A214" s="428"/>
      <c r="B214" s="428"/>
      <c r="C214" s="428"/>
      <c r="D214" s="428">
        <v>6</v>
      </c>
      <c r="E214" s="428">
        <v>2</v>
      </c>
      <c r="F214" s="428">
        <v>2</v>
      </c>
      <c r="G214" s="430"/>
      <c r="H214" s="429" t="s">
        <v>1106</v>
      </c>
      <c r="I214" s="431">
        <f>SUM(I215)</f>
        <v>0</v>
      </c>
      <c r="J214" s="432">
        <f t="shared" ref="J214:T214" si="72">SUM(J215)</f>
        <v>0</v>
      </c>
      <c r="K214" s="431">
        <f t="shared" si="72"/>
        <v>0</v>
      </c>
      <c r="L214" s="431">
        <f t="shared" si="72"/>
        <v>0</v>
      </c>
      <c r="M214" s="431">
        <f t="shared" si="72"/>
        <v>0</v>
      </c>
      <c r="N214" s="431">
        <f t="shared" si="72"/>
        <v>0</v>
      </c>
      <c r="O214" s="431">
        <f t="shared" si="72"/>
        <v>0</v>
      </c>
      <c r="P214" s="431">
        <f t="shared" si="72"/>
        <v>0</v>
      </c>
      <c r="Q214" s="431">
        <f t="shared" si="72"/>
        <v>0</v>
      </c>
      <c r="R214" s="431">
        <f t="shared" si="72"/>
        <v>0</v>
      </c>
      <c r="S214" s="431">
        <f t="shared" si="72"/>
        <v>0</v>
      </c>
      <c r="T214" s="551">
        <f t="shared" si="72"/>
        <v>0</v>
      </c>
    </row>
    <row r="215" spans="1:20" s="423" customFormat="1" ht="22.5" customHeight="1">
      <c r="A215" s="437"/>
      <c r="B215" s="437"/>
      <c r="C215" s="437"/>
      <c r="D215" s="437">
        <v>6</v>
      </c>
      <c r="E215" s="437">
        <v>2</v>
      </c>
      <c r="F215" s="437">
        <v>2</v>
      </c>
      <c r="G215" s="443">
        <v>1</v>
      </c>
      <c r="H215" s="438" t="s">
        <v>1106</v>
      </c>
      <c r="I215" s="440">
        <f>SUM(J215:T215)</f>
        <v>0</v>
      </c>
      <c r="J215" s="441"/>
      <c r="K215" s="442"/>
      <c r="L215" s="442"/>
      <c r="M215" s="442"/>
      <c r="N215" s="442"/>
      <c r="O215" s="442"/>
      <c r="P215" s="442"/>
      <c r="Q215" s="442"/>
      <c r="R215" s="442"/>
      <c r="S215" s="442"/>
      <c r="T215" s="550"/>
    </row>
    <row r="216" spans="1:20" s="420" customFormat="1" ht="22.5" customHeight="1">
      <c r="A216" s="428"/>
      <c r="B216" s="428"/>
      <c r="C216" s="428"/>
      <c r="D216" s="428">
        <v>6</v>
      </c>
      <c r="E216" s="428">
        <v>2</v>
      </c>
      <c r="F216" s="428">
        <v>3</v>
      </c>
      <c r="G216" s="430"/>
      <c r="H216" s="429" t="s">
        <v>1107</v>
      </c>
      <c r="I216" s="431">
        <f>SUM(I217)</f>
        <v>0</v>
      </c>
      <c r="J216" s="432">
        <f t="shared" ref="J216:T216" si="73">SUM(J217)</f>
        <v>0</v>
      </c>
      <c r="K216" s="431">
        <f t="shared" si="73"/>
        <v>0</v>
      </c>
      <c r="L216" s="431">
        <f t="shared" si="73"/>
        <v>0</v>
      </c>
      <c r="M216" s="431">
        <f t="shared" si="73"/>
        <v>0</v>
      </c>
      <c r="N216" s="431">
        <f t="shared" si="73"/>
        <v>0</v>
      </c>
      <c r="O216" s="431">
        <f t="shared" si="73"/>
        <v>0</v>
      </c>
      <c r="P216" s="431">
        <f t="shared" si="73"/>
        <v>0</v>
      </c>
      <c r="Q216" s="431">
        <f t="shared" si="73"/>
        <v>0</v>
      </c>
      <c r="R216" s="431">
        <f t="shared" si="73"/>
        <v>0</v>
      </c>
      <c r="S216" s="431">
        <f t="shared" si="73"/>
        <v>0</v>
      </c>
      <c r="T216" s="551">
        <f t="shared" si="73"/>
        <v>0</v>
      </c>
    </row>
    <row r="217" spans="1:20" s="423" customFormat="1" ht="22.5" customHeight="1">
      <c r="A217" s="437"/>
      <c r="B217" s="437"/>
      <c r="C217" s="437"/>
      <c r="D217" s="437">
        <v>6</v>
      </c>
      <c r="E217" s="437">
        <v>2</v>
      </c>
      <c r="F217" s="437">
        <v>3</v>
      </c>
      <c r="G217" s="443">
        <v>1</v>
      </c>
      <c r="H217" s="438" t="s">
        <v>1107</v>
      </c>
      <c r="I217" s="440">
        <f>SUM(J217:T217)</f>
        <v>0</v>
      </c>
      <c r="J217" s="441"/>
      <c r="K217" s="442"/>
      <c r="L217" s="442"/>
      <c r="M217" s="442"/>
      <c r="N217" s="442"/>
      <c r="O217" s="442"/>
      <c r="P217" s="442"/>
      <c r="Q217" s="442"/>
      <c r="R217" s="442"/>
      <c r="S217" s="442"/>
      <c r="T217" s="550"/>
    </row>
    <row r="218" spans="1:20" s="423" customFormat="1" ht="22.5" customHeight="1">
      <c r="A218" s="437"/>
      <c r="B218" s="437"/>
      <c r="C218" s="437"/>
      <c r="D218" s="437"/>
      <c r="E218" s="437"/>
      <c r="F218" s="437"/>
      <c r="G218" s="443"/>
      <c r="H218" s="429" t="s">
        <v>1108</v>
      </c>
      <c r="I218" s="440">
        <f>I202-I211</f>
        <v>28400000</v>
      </c>
      <c r="J218" s="527">
        <f t="shared" ref="J218:T218" si="74">J202-J211</f>
        <v>0</v>
      </c>
      <c r="K218" s="440">
        <f t="shared" si="74"/>
        <v>0</v>
      </c>
      <c r="L218" s="440">
        <f t="shared" si="74"/>
        <v>0</v>
      </c>
      <c r="M218" s="440">
        <f t="shared" si="74"/>
        <v>0</v>
      </c>
      <c r="N218" s="440">
        <f t="shared" si="74"/>
        <v>0</v>
      </c>
      <c r="O218" s="440">
        <f t="shared" si="74"/>
        <v>0</v>
      </c>
      <c r="P218" s="440">
        <f t="shared" si="74"/>
        <v>0</v>
      </c>
      <c r="Q218" s="440">
        <f t="shared" si="74"/>
        <v>0</v>
      </c>
      <c r="R218" s="440">
        <f t="shared" si="74"/>
        <v>0</v>
      </c>
      <c r="S218" s="440">
        <f t="shared" si="74"/>
        <v>0</v>
      </c>
      <c r="T218" s="549">
        <f t="shared" si="74"/>
        <v>28400000</v>
      </c>
    </row>
    <row r="219" spans="1:20" s="423" customFormat="1" ht="18">
      <c r="A219" s="554"/>
      <c r="B219" s="555"/>
      <c r="C219" s="555"/>
      <c r="D219" s="555"/>
      <c r="E219" s="555"/>
      <c r="F219" s="555"/>
      <c r="G219" s="556"/>
      <c r="H219" s="555"/>
      <c r="I219" s="557"/>
      <c r="J219" s="558"/>
    </row>
    <row r="220" spans="1:20" s="423" customFormat="1" ht="18">
      <c r="A220" s="554"/>
      <c r="B220" s="555"/>
      <c r="C220" s="555"/>
      <c r="D220" s="555"/>
      <c r="E220" s="555"/>
      <c r="F220" s="760" t="s">
        <v>335</v>
      </c>
      <c r="G220" s="760"/>
      <c r="H220" s="760"/>
      <c r="I220" s="761"/>
      <c r="J220" s="761"/>
      <c r="R220" s="534" t="s">
        <v>1109</v>
      </c>
    </row>
    <row r="221" spans="1:20" s="423" customFormat="1" ht="18">
      <c r="A221" s="554"/>
      <c r="B221" s="555"/>
      <c r="C221" s="555"/>
      <c r="D221" s="555"/>
      <c r="E221" s="555"/>
      <c r="F221" s="760" t="s">
        <v>904</v>
      </c>
      <c r="G221" s="760"/>
      <c r="H221" s="760"/>
      <c r="I221" s="560"/>
      <c r="J221" s="558"/>
      <c r="R221" s="534" t="s">
        <v>1110</v>
      </c>
    </row>
    <row r="222" spans="1:20" s="423" customFormat="1" ht="18">
      <c r="A222" s="554"/>
      <c r="B222" s="555"/>
      <c r="C222" s="555"/>
      <c r="D222" s="555"/>
      <c r="E222" s="555"/>
      <c r="F222" s="760"/>
      <c r="G222" s="760"/>
      <c r="H222" s="760"/>
      <c r="I222" s="560"/>
      <c r="J222" s="558"/>
      <c r="R222" s="534"/>
    </row>
    <row r="223" spans="1:20" s="423" customFormat="1" ht="18">
      <c r="F223" s="760"/>
      <c r="G223" s="760"/>
      <c r="H223" s="760"/>
      <c r="I223" s="761"/>
      <c r="J223" s="761"/>
      <c r="R223" s="534"/>
    </row>
    <row r="224" spans="1:20" s="423" customFormat="1" ht="18">
      <c r="F224" s="760"/>
      <c r="G224" s="760"/>
      <c r="H224" s="760"/>
      <c r="I224" s="560"/>
      <c r="J224" s="558"/>
      <c r="R224" s="534"/>
    </row>
    <row r="225" spans="6:18" s="420" customFormat="1" ht="18">
      <c r="F225" s="762" t="s">
        <v>1111</v>
      </c>
      <c r="G225" s="762"/>
      <c r="H225" s="762"/>
      <c r="I225" s="561"/>
      <c r="J225" s="562"/>
      <c r="R225" s="563" t="s">
        <v>35</v>
      </c>
    </row>
  </sheetData>
  <mergeCells count="28">
    <mergeCell ref="I223:J223"/>
    <mergeCell ref="F224:H224"/>
    <mergeCell ref="F225:H225"/>
    <mergeCell ref="S8:S9"/>
    <mergeCell ref="T8:T9"/>
    <mergeCell ref="N8:N9"/>
    <mergeCell ref="O8:O9"/>
    <mergeCell ref="P8:P9"/>
    <mergeCell ref="Q8:Q9"/>
    <mergeCell ref="R8:R9"/>
    <mergeCell ref="F221:H221"/>
    <mergeCell ref="F222:H222"/>
    <mergeCell ref="F223:H223"/>
    <mergeCell ref="A10:C10"/>
    <mergeCell ref="D10:G10"/>
    <mergeCell ref="F220:H220"/>
    <mergeCell ref="I220:J220"/>
    <mergeCell ref="M8:M9"/>
    <mergeCell ref="A1:T1"/>
    <mergeCell ref="A2:T2"/>
    <mergeCell ref="A3:T3"/>
    <mergeCell ref="A6:G9"/>
    <mergeCell ref="H6:H9"/>
    <mergeCell ref="I6:I9"/>
    <mergeCell ref="J6:J9"/>
    <mergeCell ref="K6:T7"/>
    <mergeCell ref="K8:K9"/>
    <mergeCell ref="L8:L9"/>
  </mergeCells>
  <pageMargins left="0.78" right="0.2" top="0.74803149606299202" bottom="0.74803149606299202" header="0.31496062992126" footer="0.31496062992126"/>
  <pageSetup paperSize="300" scale="32" orientation="landscape" horizontalDpi="4294967293" r:id="rId1"/>
  <rowBreaks count="1" manualBreakCount="1">
    <brk id="64" max="1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25"/>
  <sheetViews>
    <sheetView view="pageBreakPreview" topLeftCell="I1" zoomScale="40" zoomScaleNormal="100" zoomScaleSheetLayoutView="40" workbookViewId="0">
      <selection activeCell="R5" sqref="R5"/>
    </sheetView>
  </sheetViews>
  <sheetFormatPr defaultColWidth="8.85546875" defaultRowHeight="15.75"/>
  <cols>
    <col min="1" max="6" width="3.85546875" style="365" customWidth="1"/>
    <col min="7" max="7" width="7.7109375" style="418" customWidth="1"/>
    <col min="8" max="8" width="108.7109375" style="365" customWidth="1"/>
    <col min="9" max="9" width="26.42578125" style="366" customWidth="1"/>
    <col min="10" max="10" width="24.85546875" style="564" bestFit="1" customWidth="1"/>
    <col min="11" max="11" width="24.85546875" style="419" customWidth="1"/>
    <col min="12" max="12" width="17.7109375" style="366" customWidth="1"/>
    <col min="13" max="13" width="19.5703125" style="365" customWidth="1"/>
    <col min="14" max="14" width="18.7109375" style="365" customWidth="1"/>
    <col min="15" max="15" width="21.140625" style="365" customWidth="1"/>
    <col min="16" max="16" width="18.140625" style="365" customWidth="1"/>
    <col min="17" max="17" width="21.28515625" style="365" customWidth="1"/>
    <col min="18" max="18" width="26.28515625" style="365" customWidth="1"/>
    <col min="19" max="19" width="25.85546875" style="365" customWidth="1"/>
    <col min="20" max="20" width="19.5703125" style="365" customWidth="1"/>
    <col min="21" max="21" width="23.28515625" style="365" customWidth="1"/>
    <col min="22" max="22" width="22.42578125" style="365" customWidth="1"/>
    <col min="23" max="26" width="8.85546875" style="365"/>
    <col min="27" max="27" width="16.28515625" style="365" bestFit="1" customWidth="1"/>
    <col min="28" max="258" width="8.85546875" style="365"/>
    <col min="259" max="264" width="3.85546875" style="365" customWidth="1"/>
    <col min="265" max="265" width="7.7109375" style="365" customWidth="1"/>
    <col min="266" max="266" width="108.7109375" style="365" customWidth="1"/>
    <col min="267" max="267" width="24.85546875" style="365" bestFit="1" customWidth="1"/>
    <col min="268" max="268" width="14" style="365" customWidth="1"/>
    <col min="269" max="269" width="19.5703125" style="365" customWidth="1"/>
    <col min="270" max="270" width="18.7109375" style="365" customWidth="1"/>
    <col min="271" max="271" width="21.140625" style="365" customWidth="1"/>
    <col min="272" max="272" width="18.140625" style="365" customWidth="1"/>
    <col min="273" max="273" width="17.7109375" style="365" customWidth="1"/>
    <col min="274" max="274" width="24.42578125" style="365" customWidth="1"/>
    <col min="275" max="275" width="25.85546875" style="365" customWidth="1"/>
    <col min="276" max="276" width="19.5703125" style="365" customWidth="1"/>
    <col min="277" max="277" width="21.140625" style="365" customWidth="1"/>
    <col min="278" max="278" width="18.7109375" style="365" customWidth="1"/>
    <col min="279" max="282" width="8.85546875" style="365"/>
    <col min="283" max="283" width="16.28515625" style="365" bestFit="1" customWidth="1"/>
    <col min="284" max="514" width="8.85546875" style="365"/>
    <col min="515" max="520" width="3.85546875" style="365" customWidth="1"/>
    <col min="521" max="521" width="7.7109375" style="365" customWidth="1"/>
    <col min="522" max="522" width="108.7109375" style="365" customWidth="1"/>
    <col min="523" max="523" width="24.85546875" style="365" bestFit="1" customWidth="1"/>
    <col min="524" max="524" width="14" style="365" customWidth="1"/>
    <col min="525" max="525" width="19.5703125" style="365" customWidth="1"/>
    <col min="526" max="526" width="18.7109375" style="365" customWidth="1"/>
    <col min="527" max="527" width="21.140625" style="365" customWidth="1"/>
    <col min="528" max="528" width="18.140625" style="365" customWidth="1"/>
    <col min="529" max="529" width="17.7109375" style="365" customWidth="1"/>
    <col min="530" max="530" width="24.42578125" style="365" customWidth="1"/>
    <col min="531" max="531" width="25.85546875" style="365" customWidth="1"/>
    <col min="532" max="532" width="19.5703125" style="365" customWidth="1"/>
    <col min="533" max="533" width="21.140625" style="365" customWidth="1"/>
    <col min="534" max="534" width="18.7109375" style="365" customWidth="1"/>
    <col min="535" max="538" width="8.85546875" style="365"/>
    <col min="539" max="539" width="16.28515625" style="365" bestFit="1" customWidth="1"/>
    <col min="540" max="770" width="8.85546875" style="365"/>
    <col min="771" max="776" width="3.85546875" style="365" customWidth="1"/>
    <col min="777" max="777" width="7.7109375" style="365" customWidth="1"/>
    <col min="778" max="778" width="108.7109375" style="365" customWidth="1"/>
    <col min="779" max="779" width="24.85546875" style="365" bestFit="1" customWidth="1"/>
    <col min="780" max="780" width="14" style="365" customWidth="1"/>
    <col min="781" max="781" width="19.5703125" style="365" customWidth="1"/>
    <col min="782" max="782" width="18.7109375" style="365" customWidth="1"/>
    <col min="783" max="783" width="21.140625" style="365" customWidth="1"/>
    <col min="784" max="784" width="18.140625" style="365" customWidth="1"/>
    <col min="785" max="785" width="17.7109375" style="365" customWidth="1"/>
    <col min="786" max="786" width="24.42578125" style="365" customWidth="1"/>
    <col min="787" max="787" width="25.85546875" style="365" customWidth="1"/>
    <col min="788" max="788" width="19.5703125" style="365" customWidth="1"/>
    <col min="789" max="789" width="21.140625" style="365" customWidth="1"/>
    <col min="790" max="790" width="18.7109375" style="365" customWidth="1"/>
    <col min="791" max="794" width="8.85546875" style="365"/>
    <col min="795" max="795" width="16.28515625" style="365" bestFit="1" customWidth="1"/>
    <col min="796" max="1026" width="8.85546875" style="365"/>
    <col min="1027" max="1032" width="3.85546875" style="365" customWidth="1"/>
    <col min="1033" max="1033" width="7.7109375" style="365" customWidth="1"/>
    <col min="1034" max="1034" width="108.7109375" style="365" customWidth="1"/>
    <col min="1035" max="1035" width="24.85546875" style="365" bestFit="1" customWidth="1"/>
    <col min="1036" max="1036" width="14" style="365" customWidth="1"/>
    <col min="1037" max="1037" width="19.5703125" style="365" customWidth="1"/>
    <col min="1038" max="1038" width="18.7109375" style="365" customWidth="1"/>
    <col min="1039" max="1039" width="21.140625" style="365" customWidth="1"/>
    <col min="1040" max="1040" width="18.140625" style="365" customWidth="1"/>
    <col min="1041" max="1041" width="17.7109375" style="365" customWidth="1"/>
    <col min="1042" max="1042" width="24.42578125" style="365" customWidth="1"/>
    <col min="1043" max="1043" width="25.85546875" style="365" customWidth="1"/>
    <col min="1044" max="1044" width="19.5703125" style="365" customWidth="1"/>
    <col min="1045" max="1045" width="21.140625" style="365" customWidth="1"/>
    <col min="1046" max="1046" width="18.7109375" style="365" customWidth="1"/>
    <col min="1047" max="1050" width="8.85546875" style="365"/>
    <col min="1051" max="1051" width="16.28515625" style="365" bestFit="1" customWidth="1"/>
    <col min="1052" max="1282" width="8.85546875" style="365"/>
    <col min="1283" max="1288" width="3.85546875" style="365" customWidth="1"/>
    <col min="1289" max="1289" width="7.7109375" style="365" customWidth="1"/>
    <col min="1290" max="1290" width="108.7109375" style="365" customWidth="1"/>
    <col min="1291" max="1291" width="24.85546875" style="365" bestFit="1" customWidth="1"/>
    <col min="1292" max="1292" width="14" style="365" customWidth="1"/>
    <col min="1293" max="1293" width="19.5703125" style="365" customWidth="1"/>
    <col min="1294" max="1294" width="18.7109375" style="365" customWidth="1"/>
    <col min="1295" max="1295" width="21.140625" style="365" customWidth="1"/>
    <col min="1296" max="1296" width="18.140625" style="365" customWidth="1"/>
    <col min="1297" max="1297" width="17.7109375" style="365" customWidth="1"/>
    <col min="1298" max="1298" width="24.42578125" style="365" customWidth="1"/>
    <col min="1299" max="1299" width="25.85546875" style="365" customWidth="1"/>
    <col min="1300" max="1300" width="19.5703125" style="365" customWidth="1"/>
    <col min="1301" max="1301" width="21.140625" style="365" customWidth="1"/>
    <col min="1302" max="1302" width="18.7109375" style="365" customWidth="1"/>
    <col min="1303" max="1306" width="8.85546875" style="365"/>
    <col min="1307" max="1307" width="16.28515625" style="365" bestFit="1" customWidth="1"/>
    <col min="1308" max="1538" width="8.85546875" style="365"/>
    <col min="1539" max="1544" width="3.85546875" style="365" customWidth="1"/>
    <col min="1545" max="1545" width="7.7109375" style="365" customWidth="1"/>
    <col min="1546" max="1546" width="108.7109375" style="365" customWidth="1"/>
    <col min="1547" max="1547" width="24.85546875" style="365" bestFit="1" customWidth="1"/>
    <col min="1548" max="1548" width="14" style="365" customWidth="1"/>
    <col min="1549" max="1549" width="19.5703125" style="365" customWidth="1"/>
    <col min="1550" max="1550" width="18.7109375" style="365" customWidth="1"/>
    <col min="1551" max="1551" width="21.140625" style="365" customWidth="1"/>
    <col min="1552" max="1552" width="18.140625" style="365" customWidth="1"/>
    <col min="1553" max="1553" width="17.7109375" style="365" customWidth="1"/>
    <col min="1554" max="1554" width="24.42578125" style="365" customWidth="1"/>
    <col min="1555" max="1555" width="25.85546875" style="365" customWidth="1"/>
    <col min="1556" max="1556" width="19.5703125" style="365" customWidth="1"/>
    <col min="1557" max="1557" width="21.140625" style="365" customWidth="1"/>
    <col min="1558" max="1558" width="18.7109375" style="365" customWidth="1"/>
    <col min="1559" max="1562" width="8.85546875" style="365"/>
    <col min="1563" max="1563" width="16.28515625" style="365" bestFit="1" customWidth="1"/>
    <col min="1564" max="1794" width="8.85546875" style="365"/>
    <col min="1795" max="1800" width="3.85546875" style="365" customWidth="1"/>
    <col min="1801" max="1801" width="7.7109375" style="365" customWidth="1"/>
    <col min="1802" max="1802" width="108.7109375" style="365" customWidth="1"/>
    <col min="1803" max="1803" width="24.85546875" style="365" bestFit="1" customWidth="1"/>
    <col min="1804" max="1804" width="14" style="365" customWidth="1"/>
    <col min="1805" max="1805" width="19.5703125" style="365" customWidth="1"/>
    <col min="1806" max="1806" width="18.7109375" style="365" customWidth="1"/>
    <col min="1807" max="1807" width="21.140625" style="365" customWidth="1"/>
    <col min="1808" max="1808" width="18.140625" style="365" customWidth="1"/>
    <col min="1809" max="1809" width="17.7109375" style="365" customWidth="1"/>
    <col min="1810" max="1810" width="24.42578125" style="365" customWidth="1"/>
    <col min="1811" max="1811" width="25.85546875" style="365" customWidth="1"/>
    <col min="1812" max="1812" width="19.5703125" style="365" customWidth="1"/>
    <col min="1813" max="1813" width="21.140625" style="365" customWidth="1"/>
    <col min="1814" max="1814" width="18.7109375" style="365" customWidth="1"/>
    <col min="1815" max="1818" width="8.85546875" style="365"/>
    <col min="1819" max="1819" width="16.28515625" style="365" bestFit="1" customWidth="1"/>
    <col min="1820" max="2050" width="8.85546875" style="365"/>
    <col min="2051" max="2056" width="3.85546875" style="365" customWidth="1"/>
    <col min="2057" max="2057" width="7.7109375" style="365" customWidth="1"/>
    <col min="2058" max="2058" width="108.7109375" style="365" customWidth="1"/>
    <col min="2059" max="2059" width="24.85546875" style="365" bestFit="1" customWidth="1"/>
    <col min="2060" max="2060" width="14" style="365" customWidth="1"/>
    <col min="2061" max="2061" width="19.5703125" style="365" customWidth="1"/>
    <col min="2062" max="2062" width="18.7109375" style="365" customWidth="1"/>
    <col min="2063" max="2063" width="21.140625" style="365" customWidth="1"/>
    <col min="2064" max="2064" width="18.140625" style="365" customWidth="1"/>
    <col min="2065" max="2065" width="17.7109375" style="365" customWidth="1"/>
    <col min="2066" max="2066" width="24.42578125" style="365" customWidth="1"/>
    <col min="2067" max="2067" width="25.85546875" style="365" customWidth="1"/>
    <col min="2068" max="2068" width="19.5703125" style="365" customWidth="1"/>
    <col min="2069" max="2069" width="21.140625" style="365" customWidth="1"/>
    <col min="2070" max="2070" width="18.7109375" style="365" customWidth="1"/>
    <col min="2071" max="2074" width="8.85546875" style="365"/>
    <col min="2075" max="2075" width="16.28515625" style="365" bestFit="1" customWidth="1"/>
    <col min="2076" max="2306" width="8.85546875" style="365"/>
    <col min="2307" max="2312" width="3.85546875" style="365" customWidth="1"/>
    <col min="2313" max="2313" width="7.7109375" style="365" customWidth="1"/>
    <col min="2314" max="2314" width="108.7109375" style="365" customWidth="1"/>
    <col min="2315" max="2315" width="24.85546875" style="365" bestFit="1" customWidth="1"/>
    <col min="2316" max="2316" width="14" style="365" customWidth="1"/>
    <col min="2317" max="2317" width="19.5703125" style="365" customWidth="1"/>
    <col min="2318" max="2318" width="18.7109375" style="365" customWidth="1"/>
    <col min="2319" max="2319" width="21.140625" style="365" customWidth="1"/>
    <col min="2320" max="2320" width="18.140625" style="365" customWidth="1"/>
    <col min="2321" max="2321" width="17.7109375" style="365" customWidth="1"/>
    <col min="2322" max="2322" width="24.42578125" style="365" customWidth="1"/>
    <col min="2323" max="2323" width="25.85546875" style="365" customWidth="1"/>
    <col min="2324" max="2324" width="19.5703125" style="365" customWidth="1"/>
    <col min="2325" max="2325" width="21.140625" style="365" customWidth="1"/>
    <col min="2326" max="2326" width="18.7109375" style="365" customWidth="1"/>
    <col min="2327" max="2330" width="8.85546875" style="365"/>
    <col min="2331" max="2331" width="16.28515625" style="365" bestFit="1" customWidth="1"/>
    <col min="2332" max="2562" width="8.85546875" style="365"/>
    <col min="2563" max="2568" width="3.85546875" style="365" customWidth="1"/>
    <col min="2569" max="2569" width="7.7109375" style="365" customWidth="1"/>
    <col min="2570" max="2570" width="108.7109375" style="365" customWidth="1"/>
    <col min="2571" max="2571" width="24.85546875" style="365" bestFit="1" customWidth="1"/>
    <col min="2572" max="2572" width="14" style="365" customWidth="1"/>
    <col min="2573" max="2573" width="19.5703125" style="365" customWidth="1"/>
    <col min="2574" max="2574" width="18.7109375" style="365" customWidth="1"/>
    <col min="2575" max="2575" width="21.140625" style="365" customWidth="1"/>
    <col min="2576" max="2576" width="18.140625" style="365" customWidth="1"/>
    <col min="2577" max="2577" width="17.7109375" style="365" customWidth="1"/>
    <col min="2578" max="2578" width="24.42578125" style="365" customWidth="1"/>
    <col min="2579" max="2579" width="25.85546875" style="365" customWidth="1"/>
    <col min="2580" max="2580" width="19.5703125" style="365" customWidth="1"/>
    <col min="2581" max="2581" width="21.140625" style="365" customWidth="1"/>
    <col min="2582" max="2582" width="18.7109375" style="365" customWidth="1"/>
    <col min="2583" max="2586" width="8.85546875" style="365"/>
    <col min="2587" max="2587" width="16.28515625" style="365" bestFit="1" customWidth="1"/>
    <col min="2588" max="2818" width="8.85546875" style="365"/>
    <col min="2819" max="2824" width="3.85546875" style="365" customWidth="1"/>
    <col min="2825" max="2825" width="7.7109375" style="365" customWidth="1"/>
    <col min="2826" max="2826" width="108.7109375" style="365" customWidth="1"/>
    <col min="2827" max="2827" width="24.85546875" style="365" bestFit="1" customWidth="1"/>
    <col min="2828" max="2828" width="14" style="365" customWidth="1"/>
    <col min="2829" max="2829" width="19.5703125" style="365" customWidth="1"/>
    <col min="2830" max="2830" width="18.7109375" style="365" customWidth="1"/>
    <col min="2831" max="2831" width="21.140625" style="365" customWidth="1"/>
    <col min="2832" max="2832" width="18.140625" style="365" customWidth="1"/>
    <col min="2833" max="2833" width="17.7109375" style="365" customWidth="1"/>
    <col min="2834" max="2834" width="24.42578125" style="365" customWidth="1"/>
    <col min="2835" max="2835" width="25.85546875" style="365" customWidth="1"/>
    <col min="2836" max="2836" width="19.5703125" style="365" customWidth="1"/>
    <col min="2837" max="2837" width="21.140625" style="365" customWidth="1"/>
    <col min="2838" max="2838" width="18.7109375" style="365" customWidth="1"/>
    <col min="2839" max="2842" width="8.85546875" style="365"/>
    <col min="2843" max="2843" width="16.28515625" style="365" bestFit="1" customWidth="1"/>
    <col min="2844" max="3074" width="8.85546875" style="365"/>
    <col min="3075" max="3080" width="3.85546875" style="365" customWidth="1"/>
    <col min="3081" max="3081" width="7.7109375" style="365" customWidth="1"/>
    <col min="3082" max="3082" width="108.7109375" style="365" customWidth="1"/>
    <col min="3083" max="3083" width="24.85546875" style="365" bestFit="1" customWidth="1"/>
    <col min="3084" max="3084" width="14" style="365" customWidth="1"/>
    <col min="3085" max="3085" width="19.5703125" style="365" customWidth="1"/>
    <col min="3086" max="3086" width="18.7109375" style="365" customWidth="1"/>
    <col min="3087" max="3087" width="21.140625" style="365" customWidth="1"/>
    <col min="3088" max="3088" width="18.140625" style="365" customWidth="1"/>
    <col min="3089" max="3089" width="17.7109375" style="365" customWidth="1"/>
    <col min="3090" max="3090" width="24.42578125" style="365" customWidth="1"/>
    <col min="3091" max="3091" width="25.85546875" style="365" customWidth="1"/>
    <col min="3092" max="3092" width="19.5703125" style="365" customWidth="1"/>
    <col min="3093" max="3093" width="21.140625" style="365" customWidth="1"/>
    <col min="3094" max="3094" width="18.7109375" style="365" customWidth="1"/>
    <col min="3095" max="3098" width="8.85546875" style="365"/>
    <col min="3099" max="3099" width="16.28515625" style="365" bestFit="1" customWidth="1"/>
    <col min="3100" max="3330" width="8.85546875" style="365"/>
    <col min="3331" max="3336" width="3.85546875" style="365" customWidth="1"/>
    <col min="3337" max="3337" width="7.7109375" style="365" customWidth="1"/>
    <col min="3338" max="3338" width="108.7109375" style="365" customWidth="1"/>
    <col min="3339" max="3339" width="24.85546875" style="365" bestFit="1" customWidth="1"/>
    <col min="3340" max="3340" width="14" style="365" customWidth="1"/>
    <col min="3341" max="3341" width="19.5703125" style="365" customWidth="1"/>
    <col min="3342" max="3342" width="18.7109375" style="365" customWidth="1"/>
    <col min="3343" max="3343" width="21.140625" style="365" customWidth="1"/>
    <col min="3344" max="3344" width="18.140625" style="365" customWidth="1"/>
    <col min="3345" max="3345" width="17.7109375" style="365" customWidth="1"/>
    <col min="3346" max="3346" width="24.42578125" style="365" customWidth="1"/>
    <col min="3347" max="3347" width="25.85546875" style="365" customWidth="1"/>
    <col min="3348" max="3348" width="19.5703125" style="365" customWidth="1"/>
    <col min="3349" max="3349" width="21.140625" style="365" customWidth="1"/>
    <col min="3350" max="3350" width="18.7109375" style="365" customWidth="1"/>
    <col min="3351" max="3354" width="8.85546875" style="365"/>
    <col min="3355" max="3355" width="16.28515625" style="365" bestFit="1" customWidth="1"/>
    <col min="3356" max="3586" width="8.85546875" style="365"/>
    <col min="3587" max="3592" width="3.85546875" style="365" customWidth="1"/>
    <col min="3593" max="3593" width="7.7109375" style="365" customWidth="1"/>
    <col min="3594" max="3594" width="108.7109375" style="365" customWidth="1"/>
    <col min="3595" max="3595" width="24.85546875" style="365" bestFit="1" customWidth="1"/>
    <col min="3596" max="3596" width="14" style="365" customWidth="1"/>
    <col min="3597" max="3597" width="19.5703125" style="365" customWidth="1"/>
    <col min="3598" max="3598" width="18.7109375" style="365" customWidth="1"/>
    <col min="3599" max="3599" width="21.140625" style="365" customWidth="1"/>
    <col min="3600" max="3600" width="18.140625" style="365" customWidth="1"/>
    <col min="3601" max="3601" width="17.7109375" style="365" customWidth="1"/>
    <col min="3602" max="3602" width="24.42578125" style="365" customWidth="1"/>
    <col min="3603" max="3603" width="25.85546875" style="365" customWidth="1"/>
    <col min="3604" max="3604" width="19.5703125" style="365" customWidth="1"/>
    <col min="3605" max="3605" width="21.140625" style="365" customWidth="1"/>
    <col min="3606" max="3606" width="18.7109375" style="365" customWidth="1"/>
    <col min="3607" max="3610" width="8.85546875" style="365"/>
    <col min="3611" max="3611" width="16.28515625" style="365" bestFit="1" customWidth="1"/>
    <col min="3612" max="3842" width="8.85546875" style="365"/>
    <col min="3843" max="3848" width="3.85546875" style="365" customWidth="1"/>
    <col min="3849" max="3849" width="7.7109375" style="365" customWidth="1"/>
    <col min="3850" max="3850" width="108.7109375" style="365" customWidth="1"/>
    <col min="3851" max="3851" width="24.85546875" style="365" bestFit="1" customWidth="1"/>
    <col min="3852" max="3852" width="14" style="365" customWidth="1"/>
    <col min="3853" max="3853" width="19.5703125" style="365" customWidth="1"/>
    <col min="3854" max="3854" width="18.7109375" style="365" customWidth="1"/>
    <col min="3855" max="3855" width="21.140625" style="365" customWidth="1"/>
    <col min="3856" max="3856" width="18.140625" style="365" customWidth="1"/>
    <col min="3857" max="3857" width="17.7109375" style="365" customWidth="1"/>
    <col min="3858" max="3858" width="24.42578125" style="365" customWidth="1"/>
    <col min="3859" max="3859" width="25.85546875" style="365" customWidth="1"/>
    <col min="3860" max="3860" width="19.5703125" style="365" customWidth="1"/>
    <col min="3861" max="3861" width="21.140625" style="365" customWidth="1"/>
    <col min="3862" max="3862" width="18.7109375" style="365" customWidth="1"/>
    <col min="3863" max="3866" width="8.85546875" style="365"/>
    <col min="3867" max="3867" width="16.28515625" style="365" bestFit="1" customWidth="1"/>
    <col min="3868" max="4098" width="8.85546875" style="365"/>
    <col min="4099" max="4104" width="3.85546875" style="365" customWidth="1"/>
    <col min="4105" max="4105" width="7.7109375" style="365" customWidth="1"/>
    <col min="4106" max="4106" width="108.7109375" style="365" customWidth="1"/>
    <col min="4107" max="4107" width="24.85546875" style="365" bestFit="1" customWidth="1"/>
    <col min="4108" max="4108" width="14" style="365" customWidth="1"/>
    <col min="4109" max="4109" width="19.5703125" style="365" customWidth="1"/>
    <col min="4110" max="4110" width="18.7109375" style="365" customWidth="1"/>
    <col min="4111" max="4111" width="21.140625" style="365" customWidth="1"/>
    <col min="4112" max="4112" width="18.140625" style="365" customWidth="1"/>
    <col min="4113" max="4113" width="17.7109375" style="365" customWidth="1"/>
    <col min="4114" max="4114" width="24.42578125" style="365" customWidth="1"/>
    <col min="4115" max="4115" width="25.85546875" style="365" customWidth="1"/>
    <col min="4116" max="4116" width="19.5703125" style="365" customWidth="1"/>
    <col min="4117" max="4117" width="21.140625" style="365" customWidth="1"/>
    <col min="4118" max="4118" width="18.7109375" style="365" customWidth="1"/>
    <col min="4119" max="4122" width="8.85546875" style="365"/>
    <col min="4123" max="4123" width="16.28515625" style="365" bestFit="1" customWidth="1"/>
    <col min="4124" max="4354" width="8.85546875" style="365"/>
    <col min="4355" max="4360" width="3.85546875" style="365" customWidth="1"/>
    <col min="4361" max="4361" width="7.7109375" style="365" customWidth="1"/>
    <col min="4362" max="4362" width="108.7109375" style="365" customWidth="1"/>
    <col min="4363" max="4363" width="24.85546875" style="365" bestFit="1" customWidth="1"/>
    <col min="4364" max="4364" width="14" style="365" customWidth="1"/>
    <col min="4365" max="4365" width="19.5703125" style="365" customWidth="1"/>
    <col min="4366" max="4366" width="18.7109375" style="365" customWidth="1"/>
    <col min="4367" max="4367" width="21.140625" style="365" customWidth="1"/>
    <col min="4368" max="4368" width="18.140625" style="365" customWidth="1"/>
    <col min="4369" max="4369" width="17.7109375" style="365" customWidth="1"/>
    <col min="4370" max="4370" width="24.42578125" style="365" customWidth="1"/>
    <col min="4371" max="4371" width="25.85546875" style="365" customWidth="1"/>
    <col min="4372" max="4372" width="19.5703125" style="365" customWidth="1"/>
    <col min="4373" max="4373" width="21.140625" style="365" customWidth="1"/>
    <col min="4374" max="4374" width="18.7109375" style="365" customWidth="1"/>
    <col min="4375" max="4378" width="8.85546875" style="365"/>
    <col min="4379" max="4379" width="16.28515625" style="365" bestFit="1" customWidth="1"/>
    <col min="4380" max="4610" width="8.85546875" style="365"/>
    <col min="4611" max="4616" width="3.85546875" style="365" customWidth="1"/>
    <col min="4617" max="4617" width="7.7109375" style="365" customWidth="1"/>
    <col min="4618" max="4618" width="108.7109375" style="365" customWidth="1"/>
    <col min="4619" max="4619" width="24.85546875" style="365" bestFit="1" customWidth="1"/>
    <col min="4620" max="4620" width="14" style="365" customWidth="1"/>
    <col min="4621" max="4621" width="19.5703125" style="365" customWidth="1"/>
    <col min="4622" max="4622" width="18.7109375" style="365" customWidth="1"/>
    <col min="4623" max="4623" width="21.140625" style="365" customWidth="1"/>
    <col min="4624" max="4624" width="18.140625" style="365" customWidth="1"/>
    <col min="4625" max="4625" width="17.7109375" style="365" customWidth="1"/>
    <col min="4626" max="4626" width="24.42578125" style="365" customWidth="1"/>
    <col min="4627" max="4627" width="25.85546875" style="365" customWidth="1"/>
    <col min="4628" max="4628" width="19.5703125" style="365" customWidth="1"/>
    <col min="4629" max="4629" width="21.140625" style="365" customWidth="1"/>
    <col min="4630" max="4630" width="18.7109375" style="365" customWidth="1"/>
    <col min="4631" max="4634" width="8.85546875" style="365"/>
    <col min="4635" max="4635" width="16.28515625" style="365" bestFit="1" customWidth="1"/>
    <col min="4636" max="4866" width="8.85546875" style="365"/>
    <col min="4867" max="4872" width="3.85546875" style="365" customWidth="1"/>
    <col min="4873" max="4873" width="7.7109375" style="365" customWidth="1"/>
    <col min="4874" max="4874" width="108.7109375" style="365" customWidth="1"/>
    <col min="4875" max="4875" width="24.85546875" style="365" bestFit="1" customWidth="1"/>
    <col min="4876" max="4876" width="14" style="365" customWidth="1"/>
    <col min="4877" max="4877" width="19.5703125" style="365" customWidth="1"/>
    <col min="4878" max="4878" width="18.7109375" style="365" customWidth="1"/>
    <col min="4879" max="4879" width="21.140625" style="365" customWidth="1"/>
    <col min="4880" max="4880" width="18.140625" style="365" customWidth="1"/>
    <col min="4881" max="4881" width="17.7109375" style="365" customWidth="1"/>
    <col min="4882" max="4882" width="24.42578125" style="365" customWidth="1"/>
    <col min="4883" max="4883" width="25.85546875" style="365" customWidth="1"/>
    <col min="4884" max="4884" width="19.5703125" style="365" customWidth="1"/>
    <col min="4885" max="4885" width="21.140625" style="365" customWidth="1"/>
    <col min="4886" max="4886" width="18.7109375" style="365" customWidth="1"/>
    <col min="4887" max="4890" width="8.85546875" style="365"/>
    <col min="4891" max="4891" width="16.28515625" style="365" bestFit="1" customWidth="1"/>
    <col min="4892" max="5122" width="8.85546875" style="365"/>
    <col min="5123" max="5128" width="3.85546875" style="365" customWidth="1"/>
    <col min="5129" max="5129" width="7.7109375" style="365" customWidth="1"/>
    <col min="5130" max="5130" width="108.7109375" style="365" customWidth="1"/>
    <col min="5131" max="5131" width="24.85546875" style="365" bestFit="1" customWidth="1"/>
    <col min="5132" max="5132" width="14" style="365" customWidth="1"/>
    <col min="5133" max="5133" width="19.5703125" style="365" customWidth="1"/>
    <col min="5134" max="5134" width="18.7109375" style="365" customWidth="1"/>
    <col min="5135" max="5135" width="21.140625" style="365" customWidth="1"/>
    <col min="5136" max="5136" width="18.140625" style="365" customWidth="1"/>
    <col min="5137" max="5137" width="17.7109375" style="365" customWidth="1"/>
    <col min="5138" max="5138" width="24.42578125" style="365" customWidth="1"/>
    <col min="5139" max="5139" width="25.85546875" style="365" customWidth="1"/>
    <col min="5140" max="5140" width="19.5703125" style="365" customWidth="1"/>
    <col min="5141" max="5141" width="21.140625" style="365" customWidth="1"/>
    <col min="5142" max="5142" width="18.7109375" style="365" customWidth="1"/>
    <col min="5143" max="5146" width="8.85546875" style="365"/>
    <col min="5147" max="5147" width="16.28515625" style="365" bestFit="1" customWidth="1"/>
    <col min="5148" max="5378" width="8.85546875" style="365"/>
    <col min="5379" max="5384" width="3.85546875" style="365" customWidth="1"/>
    <col min="5385" max="5385" width="7.7109375" style="365" customWidth="1"/>
    <col min="5386" max="5386" width="108.7109375" style="365" customWidth="1"/>
    <col min="5387" max="5387" width="24.85546875" style="365" bestFit="1" customWidth="1"/>
    <col min="5388" max="5388" width="14" style="365" customWidth="1"/>
    <col min="5389" max="5389" width="19.5703125" style="365" customWidth="1"/>
    <col min="5390" max="5390" width="18.7109375" style="365" customWidth="1"/>
    <col min="5391" max="5391" width="21.140625" style="365" customWidth="1"/>
    <col min="5392" max="5392" width="18.140625" style="365" customWidth="1"/>
    <col min="5393" max="5393" width="17.7109375" style="365" customWidth="1"/>
    <col min="5394" max="5394" width="24.42578125" style="365" customWidth="1"/>
    <col min="5395" max="5395" width="25.85546875" style="365" customWidth="1"/>
    <col min="5396" max="5396" width="19.5703125" style="365" customWidth="1"/>
    <col min="5397" max="5397" width="21.140625" style="365" customWidth="1"/>
    <col min="5398" max="5398" width="18.7109375" style="365" customWidth="1"/>
    <col min="5399" max="5402" width="8.85546875" style="365"/>
    <col min="5403" max="5403" width="16.28515625" style="365" bestFit="1" customWidth="1"/>
    <col min="5404" max="5634" width="8.85546875" style="365"/>
    <col min="5635" max="5640" width="3.85546875" style="365" customWidth="1"/>
    <col min="5641" max="5641" width="7.7109375" style="365" customWidth="1"/>
    <col min="5642" max="5642" width="108.7109375" style="365" customWidth="1"/>
    <col min="5643" max="5643" width="24.85546875" style="365" bestFit="1" customWidth="1"/>
    <col min="5644" max="5644" width="14" style="365" customWidth="1"/>
    <col min="5645" max="5645" width="19.5703125" style="365" customWidth="1"/>
    <col min="5646" max="5646" width="18.7109375" style="365" customWidth="1"/>
    <col min="5647" max="5647" width="21.140625" style="365" customWidth="1"/>
    <col min="5648" max="5648" width="18.140625" style="365" customWidth="1"/>
    <col min="5649" max="5649" width="17.7109375" style="365" customWidth="1"/>
    <col min="5650" max="5650" width="24.42578125" style="365" customWidth="1"/>
    <col min="5651" max="5651" width="25.85546875" style="365" customWidth="1"/>
    <col min="5652" max="5652" width="19.5703125" style="365" customWidth="1"/>
    <col min="5653" max="5653" width="21.140625" style="365" customWidth="1"/>
    <col min="5654" max="5654" width="18.7109375" style="365" customWidth="1"/>
    <col min="5655" max="5658" width="8.85546875" style="365"/>
    <col min="5659" max="5659" width="16.28515625" style="365" bestFit="1" customWidth="1"/>
    <col min="5660" max="5890" width="8.85546875" style="365"/>
    <col min="5891" max="5896" width="3.85546875" style="365" customWidth="1"/>
    <col min="5897" max="5897" width="7.7109375" style="365" customWidth="1"/>
    <col min="5898" max="5898" width="108.7109375" style="365" customWidth="1"/>
    <col min="5899" max="5899" width="24.85546875" style="365" bestFit="1" customWidth="1"/>
    <col min="5900" max="5900" width="14" style="365" customWidth="1"/>
    <col min="5901" max="5901" width="19.5703125" style="365" customWidth="1"/>
    <col min="5902" max="5902" width="18.7109375" style="365" customWidth="1"/>
    <col min="5903" max="5903" width="21.140625" style="365" customWidth="1"/>
    <col min="5904" max="5904" width="18.140625" style="365" customWidth="1"/>
    <col min="5905" max="5905" width="17.7109375" style="365" customWidth="1"/>
    <col min="5906" max="5906" width="24.42578125" style="365" customWidth="1"/>
    <col min="5907" max="5907" width="25.85546875" style="365" customWidth="1"/>
    <col min="5908" max="5908" width="19.5703125" style="365" customWidth="1"/>
    <col min="5909" max="5909" width="21.140625" style="365" customWidth="1"/>
    <col min="5910" max="5910" width="18.7109375" style="365" customWidth="1"/>
    <col min="5911" max="5914" width="8.85546875" style="365"/>
    <col min="5915" max="5915" width="16.28515625" style="365" bestFit="1" customWidth="1"/>
    <col min="5916" max="6146" width="8.85546875" style="365"/>
    <col min="6147" max="6152" width="3.85546875" style="365" customWidth="1"/>
    <col min="6153" max="6153" width="7.7109375" style="365" customWidth="1"/>
    <col min="6154" max="6154" width="108.7109375" style="365" customWidth="1"/>
    <col min="6155" max="6155" width="24.85546875" style="365" bestFit="1" customWidth="1"/>
    <col min="6156" max="6156" width="14" style="365" customWidth="1"/>
    <col min="6157" max="6157" width="19.5703125" style="365" customWidth="1"/>
    <col min="6158" max="6158" width="18.7109375" style="365" customWidth="1"/>
    <col min="6159" max="6159" width="21.140625" style="365" customWidth="1"/>
    <col min="6160" max="6160" width="18.140625" style="365" customWidth="1"/>
    <col min="6161" max="6161" width="17.7109375" style="365" customWidth="1"/>
    <col min="6162" max="6162" width="24.42578125" style="365" customWidth="1"/>
    <col min="6163" max="6163" width="25.85546875" style="365" customWidth="1"/>
    <col min="6164" max="6164" width="19.5703125" style="365" customWidth="1"/>
    <col min="6165" max="6165" width="21.140625" style="365" customWidth="1"/>
    <col min="6166" max="6166" width="18.7109375" style="365" customWidth="1"/>
    <col min="6167" max="6170" width="8.85546875" style="365"/>
    <col min="6171" max="6171" width="16.28515625" style="365" bestFit="1" customWidth="1"/>
    <col min="6172" max="6402" width="8.85546875" style="365"/>
    <col min="6403" max="6408" width="3.85546875" style="365" customWidth="1"/>
    <col min="6409" max="6409" width="7.7109375" style="365" customWidth="1"/>
    <col min="6410" max="6410" width="108.7109375" style="365" customWidth="1"/>
    <col min="6411" max="6411" width="24.85546875" style="365" bestFit="1" customWidth="1"/>
    <col min="6412" max="6412" width="14" style="365" customWidth="1"/>
    <col min="6413" max="6413" width="19.5703125" style="365" customWidth="1"/>
    <col min="6414" max="6414" width="18.7109375" style="365" customWidth="1"/>
    <col min="6415" max="6415" width="21.140625" style="365" customWidth="1"/>
    <col min="6416" max="6416" width="18.140625" style="365" customWidth="1"/>
    <col min="6417" max="6417" width="17.7109375" style="365" customWidth="1"/>
    <col min="6418" max="6418" width="24.42578125" style="365" customWidth="1"/>
    <col min="6419" max="6419" width="25.85546875" style="365" customWidth="1"/>
    <col min="6420" max="6420" width="19.5703125" style="365" customWidth="1"/>
    <col min="6421" max="6421" width="21.140625" style="365" customWidth="1"/>
    <col min="6422" max="6422" width="18.7109375" style="365" customWidth="1"/>
    <col min="6423" max="6426" width="8.85546875" style="365"/>
    <col min="6427" max="6427" width="16.28515625" style="365" bestFit="1" customWidth="1"/>
    <col min="6428" max="6658" width="8.85546875" style="365"/>
    <col min="6659" max="6664" width="3.85546875" style="365" customWidth="1"/>
    <col min="6665" max="6665" width="7.7109375" style="365" customWidth="1"/>
    <col min="6666" max="6666" width="108.7109375" style="365" customWidth="1"/>
    <col min="6667" max="6667" width="24.85546875" style="365" bestFit="1" customWidth="1"/>
    <col min="6668" max="6668" width="14" style="365" customWidth="1"/>
    <col min="6669" max="6669" width="19.5703125" style="365" customWidth="1"/>
    <col min="6670" max="6670" width="18.7109375" style="365" customWidth="1"/>
    <col min="6671" max="6671" width="21.140625" style="365" customWidth="1"/>
    <col min="6672" max="6672" width="18.140625" style="365" customWidth="1"/>
    <col min="6673" max="6673" width="17.7109375" style="365" customWidth="1"/>
    <col min="6674" max="6674" width="24.42578125" style="365" customWidth="1"/>
    <col min="6675" max="6675" width="25.85546875" style="365" customWidth="1"/>
    <col min="6676" max="6676" width="19.5703125" style="365" customWidth="1"/>
    <col min="6677" max="6677" width="21.140625" style="365" customWidth="1"/>
    <col min="6678" max="6678" width="18.7109375" style="365" customWidth="1"/>
    <col min="6679" max="6682" width="8.85546875" style="365"/>
    <col min="6683" max="6683" width="16.28515625" style="365" bestFit="1" customWidth="1"/>
    <col min="6684" max="6914" width="8.85546875" style="365"/>
    <col min="6915" max="6920" width="3.85546875" style="365" customWidth="1"/>
    <col min="6921" max="6921" width="7.7109375" style="365" customWidth="1"/>
    <col min="6922" max="6922" width="108.7109375" style="365" customWidth="1"/>
    <col min="6923" max="6923" width="24.85546875" style="365" bestFit="1" customWidth="1"/>
    <col min="6924" max="6924" width="14" style="365" customWidth="1"/>
    <col min="6925" max="6925" width="19.5703125" style="365" customWidth="1"/>
    <col min="6926" max="6926" width="18.7109375" style="365" customWidth="1"/>
    <col min="6927" max="6927" width="21.140625" style="365" customWidth="1"/>
    <col min="6928" max="6928" width="18.140625" style="365" customWidth="1"/>
    <col min="6929" max="6929" width="17.7109375" style="365" customWidth="1"/>
    <col min="6930" max="6930" width="24.42578125" style="365" customWidth="1"/>
    <col min="6931" max="6931" width="25.85546875" style="365" customWidth="1"/>
    <col min="6932" max="6932" width="19.5703125" style="365" customWidth="1"/>
    <col min="6933" max="6933" width="21.140625" style="365" customWidth="1"/>
    <col min="6934" max="6934" width="18.7109375" style="365" customWidth="1"/>
    <col min="6935" max="6938" width="8.85546875" style="365"/>
    <col min="6939" max="6939" width="16.28515625" style="365" bestFit="1" customWidth="1"/>
    <col min="6940" max="7170" width="8.85546875" style="365"/>
    <col min="7171" max="7176" width="3.85546875" style="365" customWidth="1"/>
    <col min="7177" max="7177" width="7.7109375" style="365" customWidth="1"/>
    <col min="7178" max="7178" width="108.7109375" style="365" customWidth="1"/>
    <col min="7179" max="7179" width="24.85546875" style="365" bestFit="1" customWidth="1"/>
    <col min="7180" max="7180" width="14" style="365" customWidth="1"/>
    <col min="7181" max="7181" width="19.5703125" style="365" customWidth="1"/>
    <col min="7182" max="7182" width="18.7109375" style="365" customWidth="1"/>
    <col min="7183" max="7183" width="21.140625" style="365" customWidth="1"/>
    <col min="7184" max="7184" width="18.140625" style="365" customWidth="1"/>
    <col min="7185" max="7185" width="17.7109375" style="365" customWidth="1"/>
    <col min="7186" max="7186" width="24.42578125" style="365" customWidth="1"/>
    <col min="7187" max="7187" width="25.85546875" style="365" customWidth="1"/>
    <col min="7188" max="7188" width="19.5703125" style="365" customWidth="1"/>
    <col min="7189" max="7189" width="21.140625" style="365" customWidth="1"/>
    <col min="7190" max="7190" width="18.7109375" style="365" customWidth="1"/>
    <col min="7191" max="7194" width="8.85546875" style="365"/>
    <col min="7195" max="7195" width="16.28515625" style="365" bestFit="1" customWidth="1"/>
    <col min="7196" max="7426" width="8.85546875" style="365"/>
    <col min="7427" max="7432" width="3.85546875" style="365" customWidth="1"/>
    <col min="7433" max="7433" width="7.7109375" style="365" customWidth="1"/>
    <col min="7434" max="7434" width="108.7109375" style="365" customWidth="1"/>
    <col min="7435" max="7435" width="24.85546875" style="365" bestFit="1" customWidth="1"/>
    <col min="7436" max="7436" width="14" style="365" customWidth="1"/>
    <col min="7437" max="7437" width="19.5703125" style="365" customWidth="1"/>
    <col min="7438" max="7438" width="18.7109375" style="365" customWidth="1"/>
    <col min="7439" max="7439" width="21.140625" style="365" customWidth="1"/>
    <col min="7440" max="7440" width="18.140625" style="365" customWidth="1"/>
    <col min="7441" max="7441" width="17.7109375" style="365" customWidth="1"/>
    <col min="7442" max="7442" width="24.42578125" style="365" customWidth="1"/>
    <col min="7443" max="7443" width="25.85546875" style="365" customWidth="1"/>
    <col min="7444" max="7444" width="19.5703125" style="365" customWidth="1"/>
    <col min="7445" max="7445" width="21.140625" style="365" customWidth="1"/>
    <col min="7446" max="7446" width="18.7109375" style="365" customWidth="1"/>
    <col min="7447" max="7450" width="8.85546875" style="365"/>
    <col min="7451" max="7451" width="16.28515625" style="365" bestFit="1" customWidth="1"/>
    <col min="7452" max="7682" width="8.85546875" style="365"/>
    <col min="7683" max="7688" width="3.85546875" style="365" customWidth="1"/>
    <col min="7689" max="7689" width="7.7109375" style="365" customWidth="1"/>
    <col min="7690" max="7690" width="108.7109375" style="365" customWidth="1"/>
    <col min="7691" max="7691" width="24.85546875" style="365" bestFit="1" customWidth="1"/>
    <col min="7692" max="7692" width="14" style="365" customWidth="1"/>
    <col min="7693" max="7693" width="19.5703125" style="365" customWidth="1"/>
    <col min="7694" max="7694" width="18.7109375" style="365" customWidth="1"/>
    <col min="7695" max="7695" width="21.140625" style="365" customWidth="1"/>
    <col min="7696" max="7696" width="18.140625" style="365" customWidth="1"/>
    <col min="7697" max="7697" width="17.7109375" style="365" customWidth="1"/>
    <col min="7698" max="7698" width="24.42578125" style="365" customWidth="1"/>
    <col min="7699" max="7699" width="25.85546875" style="365" customWidth="1"/>
    <col min="7700" max="7700" width="19.5703125" style="365" customWidth="1"/>
    <col min="7701" max="7701" width="21.140625" style="365" customWidth="1"/>
    <col min="7702" max="7702" width="18.7109375" style="365" customWidth="1"/>
    <col min="7703" max="7706" width="8.85546875" style="365"/>
    <col min="7707" max="7707" width="16.28515625" style="365" bestFit="1" customWidth="1"/>
    <col min="7708" max="7938" width="8.85546875" style="365"/>
    <col min="7939" max="7944" width="3.85546875" style="365" customWidth="1"/>
    <col min="7945" max="7945" width="7.7109375" style="365" customWidth="1"/>
    <col min="7946" max="7946" width="108.7109375" style="365" customWidth="1"/>
    <col min="7947" max="7947" width="24.85546875" style="365" bestFit="1" customWidth="1"/>
    <col min="7948" max="7948" width="14" style="365" customWidth="1"/>
    <col min="7949" max="7949" width="19.5703125" style="365" customWidth="1"/>
    <col min="7950" max="7950" width="18.7109375" style="365" customWidth="1"/>
    <col min="7951" max="7951" width="21.140625" style="365" customWidth="1"/>
    <col min="7952" max="7952" width="18.140625" style="365" customWidth="1"/>
    <col min="7953" max="7953" width="17.7109375" style="365" customWidth="1"/>
    <col min="7954" max="7954" width="24.42578125" style="365" customWidth="1"/>
    <col min="7955" max="7955" width="25.85546875" style="365" customWidth="1"/>
    <col min="7956" max="7956" width="19.5703125" style="365" customWidth="1"/>
    <col min="7957" max="7957" width="21.140625" style="365" customWidth="1"/>
    <col min="7958" max="7958" width="18.7109375" style="365" customWidth="1"/>
    <col min="7959" max="7962" width="8.85546875" style="365"/>
    <col min="7963" max="7963" width="16.28515625" style="365" bestFit="1" customWidth="1"/>
    <col min="7964" max="8194" width="8.85546875" style="365"/>
    <col min="8195" max="8200" width="3.85546875" style="365" customWidth="1"/>
    <col min="8201" max="8201" width="7.7109375" style="365" customWidth="1"/>
    <col min="8202" max="8202" width="108.7109375" style="365" customWidth="1"/>
    <col min="8203" max="8203" width="24.85546875" style="365" bestFit="1" customWidth="1"/>
    <col min="8204" max="8204" width="14" style="365" customWidth="1"/>
    <col min="8205" max="8205" width="19.5703125" style="365" customWidth="1"/>
    <col min="8206" max="8206" width="18.7109375" style="365" customWidth="1"/>
    <col min="8207" max="8207" width="21.140625" style="365" customWidth="1"/>
    <col min="8208" max="8208" width="18.140625" style="365" customWidth="1"/>
    <col min="8209" max="8209" width="17.7109375" style="365" customWidth="1"/>
    <col min="8210" max="8210" width="24.42578125" style="365" customWidth="1"/>
    <col min="8211" max="8211" width="25.85546875" style="365" customWidth="1"/>
    <col min="8212" max="8212" width="19.5703125" style="365" customWidth="1"/>
    <col min="8213" max="8213" width="21.140625" style="365" customWidth="1"/>
    <col min="8214" max="8214" width="18.7109375" style="365" customWidth="1"/>
    <col min="8215" max="8218" width="8.85546875" style="365"/>
    <col min="8219" max="8219" width="16.28515625" style="365" bestFit="1" customWidth="1"/>
    <col min="8220" max="8450" width="8.85546875" style="365"/>
    <col min="8451" max="8456" width="3.85546875" style="365" customWidth="1"/>
    <col min="8457" max="8457" width="7.7109375" style="365" customWidth="1"/>
    <col min="8458" max="8458" width="108.7109375" style="365" customWidth="1"/>
    <col min="8459" max="8459" width="24.85546875" style="365" bestFit="1" customWidth="1"/>
    <col min="8460" max="8460" width="14" style="365" customWidth="1"/>
    <col min="8461" max="8461" width="19.5703125" style="365" customWidth="1"/>
    <col min="8462" max="8462" width="18.7109375" style="365" customWidth="1"/>
    <col min="8463" max="8463" width="21.140625" style="365" customWidth="1"/>
    <col min="8464" max="8464" width="18.140625" style="365" customWidth="1"/>
    <col min="8465" max="8465" width="17.7109375" style="365" customWidth="1"/>
    <col min="8466" max="8466" width="24.42578125" style="365" customWidth="1"/>
    <col min="8467" max="8467" width="25.85546875" style="365" customWidth="1"/>
    <col min="8468" max="8468" width="19.5703125" style="365" customWidth="1"/>
    <col min="8469" max="8469" width="21.140625" style="365" customWidth="1"/>
    <col min="8470" max="8470" width="18.7109375" style="365" customWidth="1"/>
    <col min="8471" max="8474" width="8.85546875" style="365"/>
    <col min="8475" max="8475" width="16.28515625" style="365" bestFit="1" customWidth="1"/>
    <col min="8476" max="8706" width="8.85546875" style="365"/>
    <col min="8707" max="8712" width="3.85546875" style="365" customWidth="1"/>
    <col min="8713" max="8713" width="7.7109375" style="365" customWidth="1"/>
    <col min="8714" max="8714" width="108.7109375" style="365" customWidth="1"/>
    <col min="8715" max="8715" width="24.85546875" style="365" bestFit="1" customWidth="1"/>
    <col min="8716" max="8716" width="14" style="365" customWidth="1"/>
    <col min="8717" max="8717" width="19.5703125" style="365" customWidth="1"/>
    <col min="8718" max="8718" width="18.7109375" style="365" customWidth="1"/>
    <col min="8719" max="8719" width="21.140625" style="365" customWidth="1"/>
    <col min="8720" max="8720" width="18.140625" style="365" customWidth="1"/>
    <col min="8721" max="8721" width="17.7109375" style="365" customWidth="1"/>
    <col min="8722" max="8722" width="24.42578125" style="365" customWidth="1"/>
    <col min="8723" max="8723" width="25.85546875" style="365" customWidth="1"/>
    <col min="8724" max="8724" width="19.5703125" style="365" customWidth="1"/>
    <col min="8725" max="8725" width="21.140625" style="365" customWidth="1"/>
    <col min="8726" max="8726" width="18.7109375" style="365" customWidth="1"/>
    <col min="8727" max="8730" width="8.85546875" style="365"/>
    <col min="8731" max="8731" width="16.28515625" style="365" bestFit="1" customWidth="1"/>
    <col min="8732" max="8962" width="8.85546875" style="365"/>
    <col min="8963" max="8968" width="3.85546875" style="365" customWidth="1"/>
    <col min="8969" max="8969" width="7.7109375" style="365" customWidth="1"/>
    <col min="8970" max="8970" width="108.7109375" style="365" customWidth="1"/>
    <col min="8971" max="8971" width="24.85546875" style="365" bestFit="1" customWidth="1"/>
    <col min="8972" max="8972" width="14" style="365" customWidth="1"/>
    <col min="8973" max="8973" width="19.5703125" style="365" customWidth="1"/>
    <col min="8974" max="8974" width="18.7109375" style="365" customWidth="1"/>
    <col min="8975" max="8975" width="21.140625" style="365" customWidth="1"/>
    <col min="8976" max="8976" width="18.140625" style="365" customWidth="1"/>
    <col min="8977" max="8977" width="17.7109375" style="365" customWidth="1"/>
    <col min="8978" max="8978" width="24.42578125" style="365" customWidth="1"/>
    <col min="8979" max="8979" width="25.85546875" style="365" customWidth="1"/>
    <col min="8980" max="8980" width="19.5703125" style="365" customWidth="1"/>
    <col min="8981" max="8981" width="21.140625" style="365" customWidth="1"/>
    <col min="8982" max="8982" width="18.7109375" style="365" customWidth="1"/>
    <col min="8983" max="8986" width="8.85546875" style="365"/>
    <col min="8987" max="8987" width="16.28515625" style="365" bestFit="1" customWidth="1"/>
    <col min="8988" max="9218" width="8.85546875" style="365"/>
    <col min="9219" max="9224" width="3.85546875" style="365" customWidth="1"/>
    <col min="9225" max="9225" width="7.7109375" style="365" customWidth="1"/>
    <col min="9226" max="9226" width="108.7109375" style="365" customWidth="1"/>
    <col min="9227" max="9227" width="24.85546875" style="365" bestFit="1" customWidth="1"/>
    <col min="9228" max="9228" width="14" style="365" customWidth="1"/>
    <col min="9229" max="9229" width="19.5703125" style="365" customWidth="1"/>
    <col min="9230" max="9230" width="18.7109375" style="365" customWidth="1"/>
    <col min="9231" max="9231" width="21.140625" style="365" customWidth="1"/>
    <col min="9232" max="9232" width="18.140625" style="365" customWidth="1"/>
    <col min="9233" max="9233" width="17.7109375" style="365" customWidth="1"/>
    <col min="9234" max="9234" width="24.42578125" style="365" customWidth="1"/>
    <col min="9235" max="9235" width="25.85546875" style="365" customWidth="1"/>
    <col min="9236" max="9236" width="19.5703125" style="365" customWidth="1"/>
    <col min="9237" max="9237" width="21.140625" style="365" customWidth="1"/>
    <col min="9238" max="9238" width="18.7109375" style="365" customWidth="1"/>
    <col min="9239" max="9242" width="8.85546875" style="365"/>
    <col min="9243" max="9243" width="16.28515625" style="365" bestFit="1" customWidth="1"/>
    <col min="9244" max="9474" width="8.85546875" style="365"/>
    <col min="9475" max="9480" width="3.85546875" style="365" customWidth="1"/>
    <col min="9481" max="9481" width="7.7109375" style="365" customWidth="1"/>
    <col min="9482" max="9482" width="108.7109375" style="365" customWidth="1"/>
    <col min="9483" max="9483" width="24.85546875" style="365" bestFit="1" customWidth="1"/>
    <col min="9484" max="9484" width="14" style="365" customWidth="1"/>
    <col min="9485" max="9485" width="19.5703125" style="365" customWidth="1"/>
    <col min="9486" max="9486" width="18.7109375" style="365" customWidth="1"/>
    <col min="9487" max="9487" width="21.140625" style="365" customWidth="1"/>
    <col min="9488" max="9488" width="18.140625" style="365" customWidth="1"/>
    <col min="9489" max="9489" width="17.7109375" style="365" customWidth="1"/>
    <col min="9490" max="9490" width="24.42578125" style="365" customWidth="1"/>
    <col min="9491" max="9491" width="25.85546875" style="365" customWidth="1"/>
    <col min="9492" max="9492" width="19.5703125" style="365" customWidth="1"/>
    <col min="9493" max="9493" width="21.140625" style="365" customWidth="1"/>
    <col min="9494" max="9494" width="18.7109375" style="365" customWidth="1"/>
    <col min="9495" max="9498" width="8.85546875" style="365"/>
    <col min="9499" max="9499" width="16.28515625" style="365" bestFit="1" customWidth="1"/>
    <col min="9500" max="9730" width="8.85546875" style="365"/>
    <col min="9731" max="9736" width="3.85546875" style="365" customWidth="1"/>
    <col min="9737" max="9737" width="7.7109375" style="365" customWidth="1"/>
    <col min="9738" max="9738" width="108.7109375" style="365" customWidth="1"/>
    <col min="9739" max="9739" width="24.85546875" style="365" bestFit="1" customWidth="1"/>
    <col min="9740" max="9740" width="14" style="365" customWidth="1"/>
    <col min="9741" max="9741" width="19.5703125" style="365" customWidth="1"/>
    <col min="9742" max="9742" width="18.7109375" style="365" customWidth="1"/>
    <col min="9743" max="9743" width="21.140625" style="365" customWidth="1"/>
    <col min="9744" max="9744" width="18.140625" style="365" customWidth="1"/>
    <col min="9745" max="9745" width="17.7109375" style="365" customWidth="1"/>
    <col min="9746" max="9746" width="24.42578125" style="365" customWidth="1"/>
    <col min="9747" max="9747" width="25.85546875" style="365" customWidth="1"/>
    <col min="9748" max="9748" width="19.5703125" style="365" customWidth="1"/>
    <col min="9749" max="9749" width="21.140625" style="365" customWidth="1"/>
    <col min="9750" max="9750" width="18.7109375" style="365" customWidth="1"/>
    <col min="9751" max="9754" width="8.85546875" style="365"/>
    <col min="9755" max="9755" width="16.28515625" style="365" bestFit="1" customWidth="1"/>
    <col min="9756" max="9986" width="8.85546875" style="365"/>
    <col min="9987" max="9992" width="3.85546875" style="365" customWidth="1"/>
    <col min="9993" max="9993" width="7.7109375" style="365" customWidth="1"/>
    <col min="9994" max="9994" width="108.7109375" style="365" customWidth="1"/>
    <col min="9995" max="9995" width="24.85546875" style="365" bestFit="1" customWidth="1"/>
    <col min="9996" max="9996" width="14" style="365" customWidth="1"/>
    <col min="9997" max="9997" width="19.5703125" style="365" customWidth="1"/>
    <col min="9998" max="9998" width="18.7109375" style="365" customWidth="1"/>
    <col min="9999" max="9999" width="21.140625" style="365" customWidth="1"/>
    <col min="10000" max="10000" width="18.140625" style="365" customWidth="1"/>
    <col min="10001" max="10001" width="17.7109375" style="365" customWidth="1"/>
    <col min="10002" max="10002" width="24.42578125" style="365" customWidth="1"/>
    <col min="10003" max="10003" width="25.85546875" style="365" customWidth="1"/>
    <col min="10004" max="10004" width="19.5703125" style="365" customWidth="1"/>
    <col min="10005" max="10005" width="21.140625" style="365" customWidth="1"/>
    <col min="10006" max="10006" width="18.7109375" style="365" customWidth="1"/>
    <col min="10007" max="10010" width="8.85546875" style="365"/>
    <col min="10011" max="10011" width="16.28515625" style="365" bestFit="1" customWidth="1"/>
    <col min="10012" max="10242" width="8.85546875" style="365"/>
    <col min="10243" max="10248" width="3.85546875" style="365" customWidth="1"/>
    <col min="10249" max="10249" width="7.7109375" style="365" customWidth="1"/>
    <col min="10250" max="10250" width="108.7109375" style="365" customWidth="1"/>
    <col min="10251" max="10251" width="24.85546875" style="365" bestFit="1" customWidth="1"/>
    <col min="10252" max="10252" width="14" style="365" customWidth="1"/>
    <col min="10253" max="10253" width="19.5703125" style="365" customWidth="1"/>
    <col min="10254" max="10254" width="18.7109375" style="365" customWidth="1"/>
    <col min="10255" max="10255" width="21.140625" style="365" customWidth="1"/>
    <col min="10256" max="10256" width="18.140625" style="365" customWidth="1"/>
    <col min="10257" max="10257" width="17.7109375" style="365" customWidth="1"/>
    <col min="10258" max="10258" width="24.42578125" style="365" customWidth="1"/>
    <col min="10259" max="10259" width="25.85546875" style="365" customWidth="1"/>
    <col min="10260" max="10260" width="19.5703125" style="365" customWidth="1"/>
    <col min="10261" max="10261" width="21.140625" style="365" customWidth="1"/>
    <col min="10262" max="10262" width="18.7109375" style="365" customWidth="1"/>
    <col min="10263" max="10266" width="8.85546875" style="365"/>
    <col min="10267" max="10267" width="16.28515625" style="365" bestFit="1" customWidth="1"/>
    <col min="10268" max="10498" width="8.85546875" style="365"/>
    <col min="10499" max="10504" width="3.85546875" style="365" customWidth="1"/>
    <col min="10505" max="10505" width="7.7109375" style="365" customWidth="1"/>
    <col min="10506" max="10506" width="108.7109375" style="365" customWidth="1"/>
    <col min="10507" max="10507" width="24.85546875" style="365" bestFit="1" customWidth="1"/>
    <col min="10508" max="10508" width="14" style="365" customWidth="1"/>
    <col min="10509" max="10509" width="19.5703125" style="365" customWidth="1"/>
    <col min="10510" max="10510" width="18.7109375" style="365" customWidth="1"/>
    <col min="10511" max="10511" width="21.140625" style="365" customWidth="1"/>
    <col min="10512" max="10512" width="18.140625" style="365" customWidth="1"/>
    <col min="10513" max="10513" width="17.7109375" style="365" customWidth="1"/>
    <col min="10514" max="10514" width="24.42578125" style="365" customWidth="1"/>
    <col min="10515" max="10515" width="25.85546875" style="365" customWidth="1"/>
    <col min="10516" max="10516" width="19.5703125" style="365" customWidth="1"/>
    <col min="10517" max="10517" width="21.140625" style="365" customWidth="1"/>
    <col min="10518" max="10518" width="18.7109375" style="365" customWidth="1"/>
    <col min="10519" max="10522" width="8.85546875" style="365"/>
    <col min="10523" max="10523" width="16.28515625" style="365" bestFit="1" customWidth="1"/>
    <col min="10524" max="10754" width="8.85546875" style="365"/>
    <col min="10755" max="10760" width="3.85546875" style="365" customWidth="1"/>
    <col min="10761" max="10761" width="7.7109375" style="365" customWidth="1"/>
    <col min="10762" max="10762" width="108.7109375" style="365" customWidth="1"/>
    <col min="10763" max="10763" width="24.85546875" style="365" bestFit="1" customWidth="1"/>
    <col min="10764" max="10764" width="14" style="365" customWidth="1"/>
    <col min="10765" max="10765" width="19.5703125" style="365" customWidth="1"/>
    <col min="10766" max="10766" width="18.7109375" style="365" customWidth="1"/>
    <col min="10767" max="10767" width="21.140625" style="365" customWidth="1"/>
    <col min="10768" max="10768" width="18.140625" style="365" customWidth="1"/>
    <col min="10769" max="10769" width="17.7109375" style="365" customWidth="1"/>
    <col min="10770" max="10770" width="24.42578125" style="365" customWidth="1"/>
    <col min="10771" max="10771" width="25.85546875" style="365" customWidth="1"/>
    <col min="10772" max="10772" width="19.5703125" style="365" customWidth="1"/>
    <col min="10773" max="10773" width="21.140625" style="365" customWidth="1"/>
    <col min="10774" max="10774" width="18.7109375" style="365" customWidth="1"/>
    <col min="10775" max="10778" width="8.85546875" style="365"/>
    <col min="10779" max="10779" width="16.28515625" style="365" bestFit="1" customWidth="1"/>
    <col min="10780" max="11010" width="8.85546875" style="365"/>
    <col min="11011" max="11016" width="3.85546875" style="365" customWidth="1"/>
    <col min="11017" max="11017" width="7.7109375" style="365" customWidth="1"/>
    <col min="11018" max="11018" width="108.7109375" style="365" customWidth="1"/>
    <col min="11019" max="11019" width="24.85546875" style="365" bestFit="1" customWidth="1"/>
    <col min="11020" max="11020" width="14" style="365" customWidth="1"/>
    <col min="11021" max="11021" width="19.5703125" style="365" customWidth="1"/>
    <col min="11022" max="11022" width="18.7109375" style="365" customWidth="1"/>
    <col min="11023" max="11023" width="21.140625" style="365" customWidth="1"/>
    <col min="11024" max="11024" width="18.140625" style="365" customWidth="1"/>
    <col min="11025" max="11025" width="17.7109375" style="365" customWidth="1"/>
    <col min="11026" max="11026" width="24.42578125" style="365" customWidth="1"/>
    <col min="11027" max="11027" width="25.85546875" style="365" customWidth="1"/>
    <col min="11028" max="11028" width="19.5703125" style="365" customWidth="1"/>
    <col min="11029" max="11029" width="21.140625" style="365" customWidth="1"/>
    <col min="11030" max="11030" width="18.7109375" style="365" customWidth="1"/>
    <col min="11031" max="11034" width="8.85546875" style="365"/>
    <col min="11035" max="11035" width="16.28515625" style="365" bestFit="1" customWidth="1"/>
    <col min="11036" max="11266" width="8.85546875" style="365"/>
    <col min="11267" max="11272" width="3.85546875" style="365" customWidth="1"/>
    <col min="11273" max="11273" width="7.7109375" style="365" customWidth="1"/>
    <col min="11274" max="11274" width="108.7109375" style="365" customWidth="1"/>
    <col min="11275" max="11275" width="24.85546875" style="365" bestFit="1" customWidth="1"/>
    <col min="11276" max="11276" width="14" style="365" customWidth="1"/>
    <col min="11277" max="11277" width="19.5703125" style="365" customWidth="1"/>
    <col min="11278" max="11278" width="18.7109375" style="365" customWidth="1"/>
    <col min="11279" max="11279" width="21.140625" style="365" customWidth="1"/>
    <col min="11280" max="11280" width="18.140625" style="365" customWidth="1"/>
    <col min="11281" max="11281" width="17.7109375" style="365" customWidth="1"/>
    <col min="11282" max="11282" width="24.42578125" style="365" customWidth="1"/>
    <col min="11283" max="11283" width="25.85546875" style="365" customWidth="1"/>
    <col min="11284" max="11284" width="19.5703125" style="365" customWidth="1"/>
    <col min="11285" max="11285" width="21.140625" style="365" customWidth="1"/>
    <col min="11286" max="11286" width="18.7109375" style="365" customWidth="1"/>
    <col min="11287" max="11290" width="8.85546875" style="365"/>
    <col min="11291" max="11291" width="16.28515625" style="365" bestFit="1" customWidth="1"/>
    <col min="11292" max="11522" width="8.85546875" style="365"/>
    <col min="11523" max="11528" width="3.85546875" style="365" customWidth="1"/>
    <col min="11529" max="11529" width="7.7109375" style="365" customWidth="1"/>
    <col min="11530" max="11530" width="108.7109375" style="365" customWidth="1"/>
    <col min="11531" max="11531" width="24.85546875" style="365" bestFit="1" customWidth="1"/>
    <col min="11532" max="11532" width="14" style="365" customWidth="1"/>
    <col min="11533" max="11533" width="19.5703125" style="365" customWidth="1"/>
    <col min="11534" max="11534" width="18.7109375" style="365" customWidth="1"/>
    <col min="11535" max="11535" width="21.140625" style="365" customWidth="1"/>
    <col min="11536" max="11536" width="18.140625" style="365" customWidth="1"/>
    <col min="11537" max="11537" width="17.7109375" style="365" customWidth="1"/>
    <col min="11538" max="11538" width="24.42578125" style="365" customWidth="1"/>
    <col min="11539" max="11539" width="25.85546875" style="365" customWidth="1"/>
    <col min="11540" max="11540" width="19.5703125" style="365" customWidth="1"/>
    <col min="11541" max="11541" width="21.140625" style="365" customWidth="1"/>
    <col min="11542" max="11542" width="18.7109375" style="365" customWidth="1"/>
    <col min="11543" max="11546" width="8.85546875" style="365"/>
    <col min="11547" max="11547" width="16.28515625" style="365" bestFit="1" customWidth="1"/>
    <col min="11548" max="11778" width="8.85546875" style="365"/>
    <col min="11779" max="11784" width="3.85546875" style="365" customWidth="1"/>
    <col min="11785" max="11785" width="7.7109375" style="365" customWidth="1"/>
    <col min="11786" max="11786" width="108.7109375" style="365" customWidth="1"/>
    <col min="11787" max="11787" width="24.85546875" style="365" bestFit="1" customWidth="1"/>
    <col min="11788" max="11788" width="14" style="365" customWidth="1"/>
    <col min="11789" max="11789" width="19.5703125" style="365" customWidth="1"/>
    <col min="11790" max="11790" width="18.7109375" style="365" customWidth="1"/>
    <col min="11791" max="11791" width="21.140625" style="365" customWidth="1"/>
    <col min="11792" max="11792" width="18.140625" style="365" customWidth="1"/>
    <col min="11793" max="11793" width="17.7109375" style="365" customWidth="1"/>
    <col min="11794" max="11794" width="24.42578125" style="365" customWidth="1"/>
    <col min="11795" max="11795" width="25.85546875" style="365" customWidth="1"/>
    <col min="11796" max="11796" width="19.5703125" style="365" customWidth="1"/>
    <col min="11797" max="11797" width="21.140625" style="365" customWidth="1"/>
    <col min="11798" max="11798" width="18.7109375" style="365" customWidth="1"/>
    <col min="11799" max="11802" width="8.85546875" style="365"/>
    <col min="11803" max="11803" width="16.28515625" style="365" bestFit="1" customWidth="1"/>
    <col min="11804" max="12034" width="8.85546875" style="365"/>
    <col min="12035" max="12040" width="3.85546875" style="365" customWidth="1"/>
    <col min="12041" max="12041" width="7.7109375" style="365" customWidth="1"/>
    <col min="12042" max="12042" width="108.7109375" style="365" customWidth="1"/>
    <col min="12043" max="12043" width="24.85546875" style="365" bestFit="1" customWidth="1"/>
    <col min="12044" max="12044" width="14" style="365" customWidth="1"/>
    <col min="12045" max="12045" width="19.5703125" style="365" customWidth="1"/>
    <col min="12046" max="12046" width="18.7109375" style="365" customWidth="1"/>
    <col min="12047" max="12047" width="21.140625" style="365" customWidth="1"/>
    <col min="12048" max="12048" width="18.140625" style="365" customWidth="1"/>
    <col min="12049" max="12049" width="17.7109375" style="365" customWidth="1"/>
    <col min="12050" max="12050" width="24.42578125" style="365" customWidth="1"/>
    <col min="12051" max="12051" width="25.85546875" style="365" customWidth="1"/>
    <col min="12052" max="12052" width="19.5703125" style="365" customWidth="1"/>
    <col min="12053" max="12053" width="21.140625" style="365" customWidth="1"/>
    <col min="12054" max="12054" width="18.7109375" style="365" customWidth="1"/>
    <col min="12055" max="12058" width="8.85546875" style="365"/>
    <col min="12059" max="12059" width="16.28515625" style="365" bestFit="1" customWidth="1"/>
    <col min="12060" max="12290" width="8.85546875" style="365"/>
    <col min="12291" max="12296" width="3.85546875" style="365" customWidth="1"/>
    <col min="12297" max="12297" width="7.7109375" style="365" customWidth="1"/>
    <col min="12298" max="12298" width="108.7109375" style="365" customWidth="1"/>
    <col min="12299" max="12299" width="24.85546875" style="365" bestFit="1" customWidth="1"/>
    <col min="12300" max="12300" width="14" style="365" customWidth="1"/>
    <col min="12301" max="12301" width="19.5703125" style="365" customWidth="1"/>
    <col min="12302" max="12302" width="18.7109375" style="365" customWidth="1"/>
    <col min="12303" max="12303" width="21.140625" style="365" customWidth="1"/>
    <col min="12304" max="12304" width="18.140625" style="365" customWidth="1"/>
    <col min="12305" max="12305" width="17.7109375" style="365" customWidth="1"/>
    <col min="12306" max="12306" width="24.42578125" style="365" customWidth="1"/>
    <col min="12307" max="12307" width="25.85546875" style="365" customWidth="1"/>
    <col min="12308" max="12308" width="19.5703125" style="365" customWidth="1"/>
    <col min="12309" max="12309" width="21.140625" style="365" customWidth="1"/>
    <col min="12310" max="12310" width="18.7109375" style="365" customWidth="1"/>
    <col min="12311" max="12314" width="8.85546875" style="365"/>
    <col min="12315" max="12315" width="16.28515625" style="365" bestFit="1" customWidth="1"/>
    <col min="12316" max="12546" width="8.85546875" style="365"/>
    <col min="12547" max="12552" width="3.85546875" style="365" customWidth="1"/>
    <col min="12553" max="12553" width="7.7109375" style="365" customWidth="1"/>
    <col min="12554" max="12554" width="108.7109375" style="365" customWidth="1"/>
    <col min="12555" max="12555" width="24.85546875" style="365" bestFit="1" customWidth="1"/>
    <col min="12556" max="12556" width="14" style="365" customWidth="1"/>
    <col min="12557" max="12557" width="19.5703125" style="365" customWidth="1"/>
    <col min="12558" max="12558" width="18.7109375" style="365" customWidth="1"/>
    <col min="12559" max="12559" width="21.140625" style="365" customWidth="1"/>
    <col min="12560" max="12560" width="18.140625" style="365" customWidth="1"/>
    <col min="12561" max="12561" width="17.7109375" style="365" customWidth="1"/>
    <col min="12562" max="12562" width="24.42578125" style="365" customWidth="1"/>
    <col min="12563" max="12563" width="25.85546875" style="365" customWidth="1"/>
    <col min="12564" max="12564" width="19.5703125" style="365" customWidth="1"/>
    <col min="12565" max="12565" width="21.140625" style="365" customWidth="1"/>
    <col min="12566" max="12566" width="18.7109375" style="365" customWidth="1"/>
    <col min="12567" max="12570" width="8.85546875" style="365"/>
    <col min="12571" max="12571" width="16.28515625" style="365" bestFit="1" customWidth="1"/>
    <col min="12572" max="12802" width="8.85546875" style="365"/>
    <col min="12803" max="12808" width="3.85546875" style="365" customWidth="1"/>
    <col min="12809" max="12809" width="7.7109375" style="365" customWidth="1"/>
    <col min="12810" max="12810" width="108.7109375" style="365" customWidth="1"/>
    <col min="12811" max="12811" width="24.85546875" style="365" bestFit="1" customWidth="1"/>
    <col min="12812" max="12812" width="14" style="365" customWidth="1"/>
    <col min="12813" max="12813" width="19.5703125" style="365" customWidth="1"/>
    <col min="12814" max="12814" width="18.7109375" style="365" customWidth="1"/>
    <col min="12815" max="12815" width="21.140625" style="365" customWidth="1"/>
    <col min="12816" max="12816" width="18.140625" style="365" customWidth="1"/>
    <col min="12817" max="12817" width="17.7109375" style="365" customWidth="1"/>
    <col min="12818" max="12818" width="24.42578125" style="365" customWidth="1"/>
    <col min="12819" max="12819" width="25.85546875" style="365" customWidth="1"/>
    <col min="12820" max="12820" width="19.5703125" style="365" customWidth="1"/>
    <col min="12821" max="12821" width="21.140625" style="365" customWidth="1"/>
    <col min="12822" max="12822" width="18.7109375" style="365" customWidth="1"/>
    <col min="12823" max="12826" width="8.85546875" style="365"/>
    <col min="12827" max="12827" width="16.28515625" style="365" bestFit="1" customWidth="1"/>
    <col min="12828" max="13058" width="8.85546875" style="365"/>
    <col min="13059" max="13064" width="3.85546875" style="365" customWidth="1"/>
    <col min="13065" max="13065" width="7.7109375" style="365" customWidth="1"/>
    <col min="13066" max="13066" width="108.7109375" style="365" customWidth="1"/>
    <col min="13067" max="13067" width="24.85546875" style="365" bestFit="1" customWidth="1"/>
    <col min="13068" max="13068" width="14" style="365" customWidth="1"/>
    <col min="13069" max="13069" width="19.5703125" style="365" customWidth="1"/>
    <col min="13070" max="13070" width="18.7109375" style="365" customWidth="1"/>
    <col min="13071" max="13071" width="21.140625" style="365" customWidth="1"/>
    <col min="13072" max="13072" width="18.140625" style="365" customWidth="1"/>
    <col min="13073" max="13073" width="17.7109375" style="365" customWidth="1"/>
    <col min="13074" max="13074" width="24.42578125" style="365" customWidth="1"/>
    <col min="13075" max="13075" width="25.85546875" style="365" customWidth="1"/>
    <col min="13076" max="13076" width="19.5703125" style="365" customWidth="1"/>
    <col min="13077" max="13077" width="21.140625" style="365" customWidth="1"/>
    <col min="13078" max="13078" width="18.7109375" style="365" customWidth="1"/>
    <col min="13079" max="13082" width="8.85546875" style="365"/>
    <col min="13083" max="13083" width="16.28515625" style="365" bestFit="1" customWidth="1"/>
    <col min="13084" max="13314" width="8.85546875" style="365"/>
    <col min="13315" max="13320" width="3.85546875" style="365" customWidth="1"/>
    <col min="13321" max="13321" width="7.7109375" style="365" customWidth="1"/>
    <col min="13322" max="13322" width="108.7109375" style="365" customWidth="1"/>
    <col min="13323" max="13323" width="24.85546875" style="365" bestFit="1" customWidth="1"/>
    <col min="13324" max="13324" width="14" style="365" customWidth="1"/>
    <col min="13325" max="13325" width="19.5703125" style="365" customWidth="1"/>
    <col min="13326" max="13326" width="18.7109375" style="365" customWidth="1"/>
    <col min="13327" max="13327" width="21.140625" style="365" customWidth="1"/>
    <col min="13328" max="13328" width="18.140625" style="365" customWidth="1"/>
    <col min="13329" max="13329" width="17.7109375" style="365" customWidth="1"/>
    <col min="13330" max="13330" width="24.42578125" style="365" customWidth="1"/>
    <col min="13331" max="13331" width="25.85546875" style="365" customWidth="1"/>
    <col min="13332" max="13332" width="19.5703125" style="365" customWidth="1"/>
    <col min="13333" max="13333" width="21.140625" style="365" customWidth="1"/>
    <col min="13334" max="13334" width="18.7109375" style="365" customWidth="1"/>
    <col min="13335" max="13338" width="8.85546875" style="365"/>
    <col min="13339" max="13339" width="16.28515625" style="365" bestFit="1" customWidth="1"/>
    <col min="13340" max="13570" width="8.85546875" style="365"/>
    <col min="13571" max="13576" width="3.85546875" style="365" customWidth="1"/>
    <col min="13577" max="13577" width="7.7109375" style="365" customWidth="1"/>
    <col min="13578" max="13578" width="108.7109375" style="365" customWidth="1"/>
    <col min="13579" max="13579" width="24.85546875" style="365" bestFit="1" customWidth="1"/>
    <col min="13580" max="13580" width="14" style="365" customWidth="1"/>
    <col min="13581" max="13581" width="19.5703125" style="365" customWidth="1"/>
    <col min="13582" max="13582" width="18.7109375" style="365" customWidth="1"/>
    <col min="13583" max="13583" width="21.140625" style="365" customWidth="1"/>
    <col min="13584" max="13584" width="18.140625" style="365" customWidth="1"/>
    <col min="13585" max="13585" width="17.7109375" style="365" customWidth="1"/>
    <col min="13586" max="13586" width="24.42578125" style="365" customWidth="1"/>
    <col min="13587" max="13587" width="25.85546875" style="365" customWidth="1"/>
    <col min="13588" max="13588" width="19.5703125" style="365" customWidth="1"/>
    <col min="13589" max="13589" width="21.140625" style="365" customWidth="1"/>
    <col min="13590" max="13590" width="18.7109375" style="365" customWidth="1"/>
    <col min="13591" max="13594" width="8.85546875" style="365"/>
    <col min="13595" max="13595" width="16.28515625" style="365" bestFit="1" customWidth="1"/>
    <col min="13596" max="13826" width="8.85546875" style="365"/>
    <col min="13827" max="13832" width="3.85546875" style="365" customWidth="1"/>
    <col min="13833" max="13833" width="7.7109375" style="365" customWidth="1"/>
    <col min="13834" max="13834" width="108.7109375" style="365" customWidth="1"/>
    <col min="13835" max="13835" width="24.85546875" style="365" bestFit="1" customWidth="1"/>
    <col min="13836" max="13836" width="14" style="365" customWidth="1"/>
    <col min="13837" max="13837" width="19.5703125" style="365" customWidth="1"/>
    <col min="13838" max="13838" width="18.7109375" style="365" customWidth="1"/>
    <col min="13839" max="13839" width="21.140625" style="365" customWidth="1"/>
    <col min="13840" max="13840" width="18.140625" style="365" customWidth="1"/>
    <col min="13841" max="13841" width="17.7109375" style="365" customWidth="1"/>
    <col min="13842" max="13842" width="24.42578125" style="365" customWidth="1"/>
    <col min="13843" max="13843" width="25.85546875" style="365" customWidth="1"/>
    <col min="13844" max="13844" width="19.5703125" style="365" customWidth="1"/>
    <col min="13845" max="13845" width="21.140625" style="365" customWidth="1"/>
    <col min="13846" max="13846" width="18.7109375" style="365" customWidth="1"/>
    <col min="13847" max="13850" width="8.85546875" style="365"/>
    <col min="13851" max="13851" width="16.28515625" style="365" bestFit="1" customWidth="1"/>
    <col min="13852" max="14082" width="8.85546875" style="365"/>
    <col min="14083" max="14088" width="3.85546875" style="365" customWidth="1"/>
    <col min="14089" max="14089" width="7.7109375" style="365" customWidth="1"/>
    <col min="14090" max="14090" width="108.7109375" style="365" customWidth="1"/>
    <col min="14091" max="14091" width="24.85546875" style="365" bestFit="1" customWidth="1"/>
    <col min="14092" max="14092" width="14" style="365" customWidth="1"/>
    <col min="14093" max="14093" width="19.5703125" style="365" customWidth="1"/>
    <col min="14094" max="14094" width="18.7109375" style="365" customWidth="1"/>
    <col min="14095" max="14095" width="21.140625" style="365" customWidth="1"/>
    <col min="14096" max="14096" width="18.140625" style="365" customWidth="1"/>
    <col min="14097" max="14097" width="17.7109375" style="365" customWidth="1"/>
    <col min="14098" max="14098" width="24.42578125" style="365" customWidth="1"/>
    <col min="14099" max="14099" width="25.85546875" style="365" customWidth="1"/>
    <col min="14100" max="14100" width="19.5703125" style="365" customWidth="1"/>
    <col min="14101" max="14101" width="21.140625" style="365" customWidth="1"/>
    <col min="14102" max="14102" width="18.7109375" style="365" customWidth="1"/>
    <col min="14103" max="14106" width="8.85546875" style="365"/>
    <col min="14107" max="14107" width="16.28515625" style="365" bestFit="1" customWidth="1"/>
    <col min="14108" max="14338" width="8.85546875" style="365"/>
    <col min="14339" max="14344" width="3.85546875" style="365" customWidth="1"/>
    <col min="14345" max="14345" width="7.7109375" style="365" customWidth="1"/>
    <col min="14346" max="14346" width="108.7109375" style="365" customWidth="1"/>
    <col min="14347" max="14347" width="24.85546875" style="365" bestFit="1" customWidth="1"/>
    <col min="14348" max="14348" width="14" style="365" customWidth="1"/>
    <col min="14349" max="14349" width="19.5703125" style="365" customWidth="1"/>
    <col min="14350" max="14350" width="18.7109375" style="365" customWidth="1"/>
    <col min="14351" max="14351" width="21.140625" style="365" customWidth="1"/>
    <col min="14352" max="14352" width="18.140625" style="365" customWidth="1"/>
    <col min="14353" max="14353" width="17.7109375" style="365" customWidth="1"/>
    <col min="14354" max="14354" width="24.42578125" style="365" customWidth="1"/>
    <col min="14355" max="14355" width="25.85546875" style="365" customWidth="1"/>
    <col min="14356" max="14356" width="19.5703125" style="365" customWidth="1"/>
    <col min="14357" max="14357" width="21.140625" style="365" customWidth="1"/>
    <col min="14358" max="14358" width="18.7109375" style="365" customWidth="1"/>
    <col min="14359" max="14362" width="8.85546875" style="365"/>
    <col min="14363" max="14363" width="16.28515625" style="365" bestFit="1" customWidth="1"/>
    <col min="14364" max="14594" width="8.85546875" style="365"/>
    <col min="14595" max="14600" width="3.85546875" style="365" customWidth="1"/>
    <col min="14601" max="14601" width="7.7109375" style="365" customWidth="1"/>
    <col min="14602" max="14602" width="108.7109375" style="365" customWidth="1"/>
    <col min="14603" max="14603" width="24.85546875" style="365" bestFit="1" customWidth="1"/>
    <col min="14604" max="14604" width="14" style="365" customWidth="1"/>
    <col min="14605" max="14605" width="19.5703125" style="365" customWidth="1"/>
    <col min="14606" max="14606" width="18.7109375" style="365" customWidth="1"/>
    <col min="14607" max="14607" width="21.140625" style="365" customWidth="1"/>
    <col min="14608" max="14608" width="18.140625" style="365" customWidth="1"/>
    <col min="14609" max="14609" width="17.7109375" style="365" customWidth="1"/>
    <col min="14610" max="14610" width="24.42578125" style="365" customWidth="1"/>
    <col min="14611" max="14611" width="25.85546875" style="365" customWidth="1"/>
    <col min="14612" max="14612" width="19.5703125" style="365" customWidth="1"/>
    <col min="14613" max="14613" width="21.140625" style="365" customWidth="1"/>
    <col min="14614" max="14614" width="18.7109375" style="365" customWidth="1"/>
    <col min="14615" max="14618" width="8.85546875" style="365"/>
    <col min="14619" max="14619" width="16.28515625" style="365" bestFit="1" customWidth="1"/>
    <col min="14620" max="14850" width="8.85546875" style="365"/>
    <col min="14851" max="14856" width="3.85546875" style="365" customWidth="1"/>
    <col min="14857" max="14857" width="7.7109375" style="365" customWidth="1"/>
    <col min="14858" max="14858" width="108.7109375" style="365" customWidth="1"/>
    <col min="14859" max="14859" width="24.85546875" style="365" bestFit="1" customWidth="1"/>
    <col min="14860" max="14860" width="14" style="365" customWidth="1"/>
    <col min="14861" max="14861" width="19.5703125" style="365" customWidth="1"/>
    <col min="14862" max="14862" width="18.7109375" style="365" customWidth="1"/>
    <col min="14863" max="14863" width="21.140625" style="365" customWidth="1"/>
    <col min="14864" max="14864" width="18.140625" style="365" customWidth="1"/>
    <col min="14865" max="14865" width="17.7109375" style="365" customWidth="1"/>
    <col min="14866" max="14866" width="24.42578125" style="365" customWidth="1"/>
    <col min="14867" max="14867" width="25.85546875" style="365" customWidth="1"/>
    <col min="14868" max="14868" width="19.5703125" style="365" customWidth="1"/>
    <col min="14869" max="14869" width="21.140625" style="365" customWidth="1"/>
    <col min="14870" max="14870" width="18.7109375" style="365" customWidth="1"/>
    <col min="14871" max="14874" width="8.85546875" style="365"/>
    <col min="14875" max="14875" width="16.28515625" style="365" bestFit="1" customWidth="1"/>
    <col min="14876" max="15106" width="8.85546875" style="365"/>
    <col min="15107" max="15112" width="3.85546875" style="365" customWidth="1"/>
    <col min="15113" max="15113" width="7.7109375" style="365" customWidth="1"/>
    <col min="15114" max="15114" width="108.7109375" style="365" customWidth="1"/>
    <col min="15115" max="15115" width="24.85546875" style="365" bestFit="1" customWidth="1"/>
    <col min="15116" max="15116" width="14" style="365" customWidth="1"/>
    <col min="15117" max="15117" width="19.5703125" style="365" customWidth="1"/>
    <col min="15118" max="15118" width="18.7109375" style="365" customWidth="1"/>
    <col min="15119" max="15119" width="21.140625" style="365" customWidth="1"/>
    <col min="15120" max="15120" width="18.140625" style="365" customWidth="1"/>
    <col min="15121" max="15121" width="17.7109375" style="365" customWidth="1"/>
    <col min="15122" max="15122" width="24.42578125" style="365" customWidth="1"/>
    <col min="15123" max="15123" width="25.85546875" style="365" customWidth="1"/>
    <col min="15124" max="15124" width="19.5703125" style="365" customWidth="1"/>
    <col min="15125" max="15125" width="21.140625" style="365" customWidth="1"/>
    <col min="15126" max="15126" width="18.7109375" style="365" customWidth="1"/>
    <col min="15127" max="15130" width="8.85546875" style="365"/>
    <col min="15131" max="15131" width="16.28515625" style="365" bestFit="1" customWidth="1"/>
    <col min="15132" max="15362" width="8.85546875" style="365"/>
    <col min="15363" max="15368" width="3.85546875" style="365" customWidth="1"/>
    <col min="15369" max="15369" width="7.7109375" style="365" customWidth="1"/>
    <col min="15370" max="15370" width="108.7109375" style="365" customWidth="1"/>
    <col min="15371" max="15371" width="24.85546875" style="365" bestFit="1" customWidth="1"/>
    <col min="15372" max="15372" width="14" style="365" customWidth="1"/>
    <col min="15373" max="15373" width="19.5703125" style="365" customWidth="1"/>
    <col min="15374" max="15374" width="18.7109375" style="365" customWidth="1"/>
    <col min="15375" max="15375" width="21.140625" style="365" customWidth="1"/>
    <col min="15376" max="15376" width="18.140625" style="365" customWidth="1"/>
    <col min="15377" max="15377" width="17.7109375" style="365" customWidth="1"/>
    <col min="15378" max="15378" width="24.42578125" style="365" customWidth="1"/>
    <col min="15379" max="15379" width="25.85546875" style="365" customWidth="1"/>
    <col min="15380" max="15380" width="19.5703125" style="365" customWidth="1"/>
    <col min="15381" max="15381" width="21.140625" style="365" customWidth="1"/>
    <col min="15382" max="15382" width="18.7109375" style="365" customWidth="1"/>
    <col min="15383" max="15386" width="8.85546875" style="365"/>
    <col min="15387" max="15387" width="16.28515625" style="365" bestFit="1" customWidth="1"/>
    <col min="15388" max="15618" width="8.85546875" style="365"/>
    <col min="15619" max="15624" width="3.85546875" style="365" customWidth="1"/>
    <col min="15625" max="15625" width="7.7109375" style="365" customWidth="1"/>
    <col min="15626" max="15626" width="108.7109375" style="365" customWidth="1"/>
    <col min="15627" max="15627" width="24.85546875" style="365" bestFit="1" customWidth="1"/>
    <col min="15628" max="15628" width="14" style="365" customWidth="1"/>
    <col min="15629" max="15629" width="19.5703125" style="365" customWidth="1"/>
    <col min="15630" max="15630" width="18.7109375" style="365" customWidth="1"/>
    <col min="15631" max="15631" width="21.140625" style="365" customWidth="1"/>
    <col min="15632" max="15632" width="18.140625" style="365" customWidth="1"/>
    <col min="15633" max="15633" width="17.7109375" style="365" customWidth="1"/>
    <col min="15634" max="15634" width="24.42578125" style="365" customWidth="1"/>
    <col min="15635" max="15635" width="25.85546875" style="365" customWidth="1"/>
    <col min="15636" max="15636" width="19.5703125" style="365" customWidth="1"/>
    <col min="15637" max="15637" width="21.140625" style="365" customWidth="1"/>
    <col min="15638" max="15638" width="18.7109375" style="365" customWidth="1"/>
    <col min="15639" max="15642" width="8.85546875" style="365"/>
    <col min="15643" max="15643" width="16.28515625" style="365" bestFit="1" customWidth="1"/>
    <col min="15644" max="15874" width="8.85546875" style="365"/>
    <col min="15875" max="15880" width="3.85546875" style="365" customWidth="1"/>
    <col min="15881" max="15881" width="7.7109375" style="365" customWidth="1"/>
    <col min="15882" max="15882" width="108.7109375" style="365" customWidth="1"/>
    <col min="15883" max="15883" width="24.85546875" style="365" bestFit="1" customWidth="1"/>
    <col min="15884" max="15884" width="14" style="365" customWidth="1"/>
    <col min="15885" max="15885" width="19.5703125" style="365" customWidth="1"/>
    <col min="15886" max="15886" width="18.7109375" style="365" customWidth="1"/>
    <col min="15887" max="15887" width="21.140625" style="365" customWidth="1"/>
    <col min="15888" max="15888" width="18.140625" style="365" customWidth="1"/>
    <col min="15889" max="15889" width="17.7109375" style="365" customWidth="1"/>
    <col min="15890" max="15890" width="24.42578125" style="365" customWidth="1"/>
    <col min="15891" max="15891" width="25.85546875" style="365" customWidth="1"/>
    <col min="15892" max="15892" width="19.5703125" style="365" customWidth="1"/>
    <col min="15893" max="15893" width="21.140625" style="365" customWidth="1"/>
    <col min="15894" max="15894" width="18.7109375" style="365" customWidth="1"/>
    <col min="15895" max="15898" width="8.85546875" style="365"/>
    <col min="15899" max="15899" width="16.28515625" style="365" bestFit="1" customWidth="1"/>
    <col min="15900" max="16130" width="8.85546875" style="365"/>
    <col min="16131" max="16136" width="3.85546875" style="365" customWidth="1"/>
    <col min="16137" max="16137" width="7.7109375" style="365" customWidth="1"/>
    <col min="16138" max="16138" width="108.7109375" style="365" customWidth="1"/>
    <col min="16139" max="16139" width="24.85546875" style="365" bestFit="1" customWidth="1"/>
    <col min="16140" max="16140" width="14" style="365" customWidth="1"/>
    <col min="16141" max="16141" width="19.5703125" style="365" customWidth="1"/>
    <col min="16142" max="16142" width="18.7109375" style="365" customWidth="1"/>
    <col min="16143" max="16143" width="21.140625" style="365" customWidth="1"/>
    <col min="16144" max="16144" width="18.140625" style="365" customWidth="1"/>
    <col min="16145" max="16145" width="17.7109375" style="365" customWidth="1"/>
    <col min="16146" max="16146" width="24.42578125" style="365" customWidth="1"/>
    <col min="16147" max="16147" width="25.85546875" style="365" customWidth="1"/>
    <col min="16148" max="16148" width="19.5703125" style="365" customWidth="1"/>
    <col min="16149" max="16149" width="21.140625" style="365" customWidth="1"/>
    <col min="16150" max="16150" width="18.7109375" style="365" customWidth="1"/>
    <col min="16151" max="16154" width="8.85546875" style="365"/>
    <col min="16155" max="16155" width="16.28515625" style="365" bestFit="1" customWidth="1"/>
    <col min="16156" max="16384" width="8.85546875" style="365"/>
  </cols>
  <sheetData>
    <row r="1" spans="1:27" ht="26.25">
      <c r="A1" s="748" t="s">
        <v>1013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</row>
    <row r="2" spans="1:27" ht="26.25">
      <c r="A2" s="748" t="s">
        <v>1014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</row>
    <row r="3" spans="1:27" ht="26.25">
      <c r="A3" s="748" t="s">
        <v>946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8"/>
      <c r="R3" s="748"/>
      <c r="S3" s="748"/>
      <c r="T3" s="748"/>
      <c r="U3" s="748"/>
      <c r="V3" s="748"/>
      <c r="AA3" s="417"/>
    </row>
    <row r="4" spans="1:27">
      <c r="A4" s="366"/>
      <c r="B4" s="366"/>
      <c r="C4" s="366"/>
      <c r="D4" s="366"/>
      <c r="E4" s="366"/>
      <c r="F4" s="366"/>
      <c r="H4" s="366"/>
      <c r="J4" s="419"/>
      <c r="AA4" s="417"/>
    </row>
    <row r="5" spans="1:27">
      <c r="A5" s="366"/>
      <c r="B5" s="366"/>
      <c r="C5" s="366"/>
      <c r="D5" s="366"/>
      <c r="E5" s="366"/>
      <c r="F5" s="366"/>
      <c r="H5" s="366"/>
      <c r="J5" s="417">
        <f>J12-J66</f>
        <v>-28400000</v>
      </c>
      <c r="K5" s="578"/>
      <c r="L5" s="417"/>
      <c r="M5" s="417">
        <f t="shared" ref="M5:U5" si="0">M12-M66</f>
        <v>0</v>
      </c>
      <c r="N5" s="417">
        <f>N12-N66</f>
        <v>0</v>
      </c>
      <c r="O5" s="417">
        <f t="shared" si="0"/>
        <v>0</v>
      </c>
      <c r="P5" s="417">
        <f t="shared" si="0"/>
        <v>0</v>
      </c>
      <c r="Q5" s="417">
        <f t="shared" si="0"/>
        <v>0</v>
      </c>
      <c r="R5" s="417">
        <f t="shared" si="0"/>
        <v>0</v>
      </c>
      <c r="S5" s="417">
        <f t="shared" si="0"/>
        <v>0</v>
      </c>
      <c r="T5" s="417">
        <f t="shared" si="0"/>
        <v>0</v>
      </c>
      <c r="U5" s="417">
        <f t="shared" si="0"/>
        <v>0</v>
      </c>
      <c r="V5" s="417">
        <f>V12-V66</f>
        <v>-28400000</v>
      </c>
      <c r="AA5" s="417">
        <f>J5-V5</f>
        <v>0</v>
      </c>
    </row>
    <row r="6" spans="1:27" s="420" customFormat="1" ht="24" customHeight="1">
      <c r="A6" s="749" t="s">
        <v>1015</v>
      </c>
      <c r="B6" s="749"/>
      <c r="C6" s="749"/>
      <c r="D6" s="749"/>
      <c r="E6" s="749"/>
      <c r="F6" s="749"/>
      <c r="G6" s="749"/>
      <c r="H6" s="749" t="s">
        <v>1016</v>
      </c>
      <c r="I6" s="765" t="s">
        <v>5</v>
      </c>
      <c r="J6" s="750" t="s">
        <v>1017</v>
      </c>
      <c r="K6" s="768" t="s">
        <v>1121</v>
      </c>
      <c r="L6" s="752" t="s">
        <v>1018</v>
      </c>
      <c r="M6" s="753" t="s">
        <v>1018</v>
      </c>
      <c r="N6" s="754"/>
      <c r="O6" s="754"/>
      <c r="P6" s="754"/>
      <c r="Q6" s="754"/>
      <c r="R6" s="754"/>
      <c r="S6" s="754"/>
      <c r="T6" s="754"/>
      <c r="U6" s="754"/>
      <c r="V6" s="755"/>
    </row>
    <row r="7" spans="1:27" s="420" customFormat="1" ht="24" customHeight="1">
      <c r="A7" s="749"/>
      <c r="B7" s="749"/>
      <c r="C7" s="749"/>
      <c r="D7" s="749"/>
      <c r="E7" s="749"/>
      <c r="F7" s="749"/>
      <c r="G7" s="749"/>
      <c r="H7" s="749"/>
      <c r="I7" s="766"/>
      <c r="J7" s="750"/>
      <c r="K7" s="769"/>
      <c r="L7" s="752"/>
      <c r="M7" s="756"/>
      <c r="N7" s="757"/>
      <c r="O7" s="757"/>
      <c r="P7" s="757"/>
      <c r="Q7" s="757"/>
      <c r="R7" s="757"/>
      <c r="S7" s="757"/>
      <c r="T7" s="757"/>
      <c r="U7" s="757"/>
      <c r="V7" s="758"/>
    </row>
    <row r="8" spans="1:27" s="421" customFormat="1" ht="24" customHeight="1">
      <c r="A8" s="749"/>
      <c r="B8" s="749"/>
      <c r="C8" s="749"/>
      <c r="D8" s="749"/>
      <c r="E8" s="749"/>
      <c r="F8" s="749"/>
      <c r="G8" s="749"/>
      <c r="H8" s="749"/>
      <c r="I8" s="766"/>
      <c r="J8" s="750"/>
      <c r="K8" s="769"/>
      <c r="L8" s="752"/>
      <c r="M8" s="749" t="s">
        <v>1019</v>
      </c>
      <c r="N8" s="749" t="s">
        <v>1020</v>
      </c>
      <c r="O8" s="752" t="s">
        <v>1021</v>
      </c>
      <c r="P8" s="752" t="s">
        <v>1022</v>
      </c>
      <c r="Q8" s="749" t="s">
        <v>1023</v>
      </c>
      <c r="R8" s="749" t="s">
        <v>914</v>
      </c>
      <c r="S8" s="749" t="s">
        <v>9</v>
      </c>
      <c r="T8" s="749" t="s">
        <v>1024</v>
      </c>
      <c r="U8" s="763" t="s">
        <v>1025</v>
      </c>
      <c r="V8" s="749" t="s">
        <v>1026</v>
      </c>
    </row>
    <row r="9" spans="1:27" s="421" customFormat="1" ht="24" customHeight="1">
      <c r="A9" s="749"/>
      <c r="B9" s="749"/>
      <c r="C9" s="749"/>
      <c r="D9" s="749"/>
      <c r="E9" s="749"/>
      <c r="F9" s="749"/>
      <c r="G9" s="749"/>
      <c r="H9" s="749"/>
      <c r="I9" s="767"/>
      <c r="J9" s="751"/>
      <c r="K9" s="770"/>
      <c r="L9" s="752"/>
      <c r="M9" s="749"/>
      <c r="N9" s="749"/>
      <c r="O9" s="752"/>
      <c r="P9" s="752"/>
      <c r="Q9" s="749"/>
      <c r="R9" s="749"/>
      <c r="S9" s="749"/>
      <c r="T9" s="749"/>
      <c r="U9" s="764"/>
      <c r="V9" s="749"/>
    </row>
    <row r="10" spans="1:27" s="423" customFormat="1" ht="18.75">
      <c r="A10" s="759">
        <v>1</v>
      </c>
      <c r="B10" s="759"/>
      <c r="C10" s="759"/>
      <c r="D10" s="759">
        <v>2</v>
      </c>
      <c r="E10" s="759"/>
      <c r="F10" s="759"/>
      <c r="G10" s="759"/>
      <c r="H10" s="422">
        <v>3</v>
      </c>
      <c r="I10" s="574">
        <v>4</v>
      </c>
      <c r="J10" s="422">
        <v>5</v>
      </c>
      <c r="K10" s="574">
        <v>6</v>
      </c>
      <c r="L10" s="422">
        <v>7</v>
      </c>
      <c r="M10" s="422">
        <v>8</v>
      </c>
      <c r="N10" s="422">
        <v>9</v>
      </c>
      <c r="O10" s="422">
        <v>10</v>
      </c>
      <c r="P10" s="422">
        <v>11</v>
      </c>
      <c r="Q10" s="422">
        <v>12</v>
      </c>
      <c r="R10" s="422">
        <v>13</v>
      </c>
      <c r="S10" s="422">
        <v>14</v>
      </c>
      <c r="T10" s="422">
        <v>15</v>
      </c>
      <c r="U10" s="422">
        <v>16</v>
      </c>
      <c r="V10" s="422">
        <v>17</v>
      </c>
    </row>
    <row r="11" spans="1:27" s="423" customFormat="1" ht="21" customHeight="1">
      <c r="A11" s="424" t="s">
        <v>236</v>
      </c>
      <c r="B11" s="424" t="s">
        <v>237</v>
      </c>
      <c r="C11" s="424" t="s">
        <v>238</v>
      </c>
      <c r="D11" s="424" t="s">
        <v>236</v>
      </c>
      <c r="E11" s="424" t="s">
        <v>237</v>
      </c>
      <c r="F11" s="424" t="s">
        <v>238</v>
      </c>
      <c r="G11" s="425" t="s">
        <v>239</v>
      </c>
      <c r="H11" s="424"/>
      <c r="I11" s="424"/>
      <c r="J11" s="426"/>
      <c r="K11" s="426"/>
      <c r="L11" s="424"/>
      <c r="M11" s="427"/>
      <c r="N11" s="427"/>
      <c r="O11" s="427"/>
      <c r="P11" s="427"/>
      <c r="Q11" s="427"/>
      <c r="R11" s="427"/>
      <c r="S11" s="427"/>
      <c r="T11" s="427"/>
      <c r="U11" s="427"/>
      <c r="V11" s="427"/>
    </row>
    <row r="12" spans="1:27" s="420" customFormat="1" ht="21" customHeight="1">
      <c r="A12" s="428"/>
      <c r="B12" s="428"/>
      <c r="C12" s="428"/>
      <c r="D12" s="429">
        <v>4</v>
      </c>
      <c r="E12" s="429" t="s">
        <v>956</v>
      </c>
      <c r="F12" s="429" t="s">
        <v>956</v>
      </c>
      <c r="G12" s="430"/>
      <c r="H12" s="429" t="s">
        <v>957</v>
      </c>
      <c r="I12" s="428"/>
      <c r="J12" s="431">
        <f>J13+J36+J49</f>
        <v>2500926700</v>
      </c>
      <c r="K12" s="432"/>
      <c r="L12" s="432">
        <f t="shared" ref="L12:V12" si="1">L13+L36+L49</f>
        <v>0</v>
      </c>
      <c r="M12" s="431">
        <f t="shared" si="1"/>
        <v>8000000</v>
      </c>
      <c r="N12" s="431">
        <f t="shared" si="1"/>
        <v>3600000</v>
      </c>
      <c r="O12" s="431">
        <f t="shared" si="1"/>
        <v>0</v>
      </c>
      <c r="P12" s="431">
        <f t="shared" si="1"/>
        <v>2250000</v>
      </c>
      <c r="Q12" s="431">
        <f t="shared" si="1"/>
        <v>1500000</v>
      </c>
      <c r="R12" s="431">
        <f t="shared" si="1"/>
        <v>1198676000</v>
      </c>
      <c r="S12" s="431">
        <f t="shared" si="1"/>
        <v>867093200</v>
      </c>
      <c r="T12" s="431">
        <f t="shared" si="1"/>
        <v>69807500</v>
      </c>
      <c r="U12" s="431">
        <f t="shared" si="1"/>
        <v>350000000</v>
      </c>
      <c r="V12" s="431">
        <f t="shared" si="1"/>
        <v>0</v>
      </c>
      <c r="AA12" s="420">
        <f>2031032240-2023832240</f>
        <v>7200000</v>
      </c>
    </row>
    <row r="13" spans="1:27" s="420" customFormat="1" ht="21" customHeight="1">
      <c r="A13" s="428"/>
      <c r="B13" s="428"/>
      <c r="C13" s="428"/>
      <c r="D13" s="429">
        <v>4</v>
      </c>
      <c r="E13" s="429">
        <v>1</v>
      </c>
      <c r="F13" s="429" t="s">
        <v>956</v>
      </c>
      <c r="G13" s="430"/>
      <c r="H13" s="429" t="s">
        <v>958</v>
      </c>
      <c r="I13" s="428"/>
      <c r="J13" s="431">
        <f>J14+J17+J30+J33</f>
        <v>13850000</v>
      </c>
      <c r="K13" s="432"/>
      <c r="L13" s="431">
        <f t="shared" ref="L13:V13" si="2">L14+L17+L30+L33</f>
        <v>0</v>
      </c>
      <c r="M13" s="431">
        <f t="shared" si="2"/>
        <v>8000000</v>
      </c>
      <c r="N13" s="431">
        <f t="shared" si="2"/>
        <v>3600000</v>
      </c>
      <c r="O13" s="431">
        <f t="shared" si="2"/>
        <v>0</v>
      </c>
      <c r="P13" s="431">
        <f t="shared" si="2"/>
        <v>2250000</v>
      </c>
      <c r="Q13" s="431">
        <f t="shared" si="2"/>
        <v>0</v>
      </c>
      <c r="R13" s="431">
        <f t="shared" si="2"/>
        <v>0</v>
      </c>
      <c r="S13" s="431">
        <f t="shared" si="2"/>
        <v>0</v>
      </c>
      <c r="T13" s="431">
        <f t="shared" si="2"/>
        <v>0</v>
      </c>
      <c r="U13" s="431">
        <f t="shared" si="2"/>
        <v>0</v>
      </c>
      <c r="V13" s="431">
        <f t="shared" si="2"/>
        <v>0</v>
      </c>
    </row>
    <row r="14" spans="1:27" s="436" customFormat="1" ht="21" customHeight="1">
      <c r="A14" s="433"/>
      <c r="B14" s="433"/>
      <c r="C14" s="433"/>
      <c r="D14" s="429">
        <v>4</v>
      </c>
      <c r="E14" s="434">
        <v>1</v>
      </c>
      <c r="F14" s="434">
        <v>1</v>
      </c>
      <c r="G14" s="435"/>
      <c r="H14" s="434" t="s">
        <v>959</v>
      </c>
      <c r="I14" s="428"/>
      <c r="J14" s="431">
        <f>SUM(J15:J16)</f>
        <v>0</v>
      </c>
      <c r="K14" s="432"/>
      <c r="L14" s="432">
        <f t="shared" ref="L14:V14" si="3">SUM(L15:L16)</f>
        <v>0</v>
      </c>
      <c r="M14" s="431">
        <f t="shared" si="3"/>
        <v>0</v>
      </c>
      <c r="N14" s="431">
        <f t="shared" si="3"/>
        <v>0</v>
      </c>
      <c r="O14" s="431">
        <f t="shared" si="3"/>
        <v>0</v>
      </c>
      <c r="P14" s="431">
        <f t="shared" si="3"/>
        <v>0</v>
      </c>
      <c r="Q14" s="431">
        <f t="shared" si="3"/>
        <v>0</v>
      </c>
      <c r="R14" s="431">
        <f t="shared" si="3"/>
        <v>0</v>
      </c>
      <c r="S14" s="431">
        <f t="shared" si="3"/>
        <v>0</v>
      </c>
      <c r="T14" s="431">
        <f t="shared" si="3"/>
        <v>0</v>
      </c>
      <c r="U14" s="431">
        <f t="shared" si="3"/>
        <v>0</v>
      </c>
      <c r="V14" s="431">
        <f t="shared" si="3"/>
        <v>0</v>
      </c>
    </row>
    <row r="15" spans="1:27" s="423" customFormat="1" ht="21" customHeight="1">
      <c r="A15" s="437"/>
      <c r="B15" s="437"/>
      <c r="C15" s="437"/>
      <c r="D15" s="438">
        <v>4</v>
      </c>
      <c r="E15" s="438">
        <v>1</v>
      </c>
      <c r="F15" s="438">
        <v>1</v>
      </c>
      <c r="G15" s="439" t="s">
        <v>960</v>
      </c>
      <c r="H15" s="438" t="s">
        <v>961</v>
      </c>
      <c r="I15" s="437"/>
      <c r="J15" s="440">
        <f t="shared" ref="J15:J63" si="4">SUM(M15:V15)</f>
        <v>0</v>
      </c>
      <c r="K15" s="527"/>
      <c r="L15" s="441"/>
      <c r="M15" s="442"/>
      <c r="N15" s="442"/>
      <c r="O15" s="442"/>
      <c r="P15" s="442"/>
      <c r="Q15" s="442"/>
      <c r="R15" s="442"/>
      <c r="S15" s="442"/>
      <c r="T15" s="442"/>
      <c r="U15" s="442"/>
      <c r="V15" s="442"/>
    </row>
    <row r="16" spans="1:27" s="423" customFormat="1" ht="21" customHeight="1">
      <c r="A16" s="437"/>
      <c r="B16" s="437"/>
      <c r="C16" s="437"/>
      <c r="D16" s="438">
        <v>4</v>
      </c>
      <c r="E16" s="438">
        <v>1</v>
      </c>
      <c r="F16" s="438">
        <v>1</v>
      </c>
      <c r="G16" s="443" t="s">
        <v>962</v>
      </c>
      <c r="H16" s="438" t="s">
        <v>963</v>
      </c>
      <c r="I16" s="437"/>
      <c r="J16" s="440">
        <f t="shared" si="4"/>
        <v>0</v>
      </c>
      <c r="K16" s="527"/>
      <c r="L16" s="441"/>
      <c r="M16" s="442"/>
      <c r="N16" s="442"/>
      <c r="O16" s="442"/>
      <c r="P16" s="442"/>
      <c r="Q16" s="442"/>
      <c r="R16" s="442"/>
      <c r="S16" s="442"/>
      <c r="T16" s="442"/>
      <c r="U16" s="442"/>
      <c r="V16" s="442"/>
    </row>
    <row r="17" spans="1:22" s="436" customFormat="1" ht="19.5" customHeight="1">
      <c r="A17" s="433"/>
      <c r="B17" s="433"/>
      <c r="C17" s="433"/>
      <c r="D17" s="429">
        <v>4</v>
      </c>
      <c r="E17" s="434">
        <v>1</v>
      </c>
      <c r="F17" s="434">
        <v>2</v>
      </c>
      <c r="G17" s="435"/>
      <c r="H17" s="434" t="s">
        <v>964</v>
      </c>
      <c r="I17" s="428"/>
      <c r="J17" s="431">
        <f>SUM(J18:J26)</f>
        <v>13850000</v>
      </c>
      <c r="K17" s="432"/>
      <c r="L17" s="432">
        <f t="shared" ref="L17:V17" si="5">SUM(L18:L26)</f>
        <v>0</v>
      </c>
      <c r="M17" s="431">
        <f t="shared" si="5"/>
        <v>8000000</v>
      </c>
      <c r="N17" s="431">
        <f>SUM(N18:N26)</f>
        <v>3600000</v>
      </c>
      <c r="O17" s="431">
        <f t="shared" si="5"/>
        <v>0</v>
      </c>
      <c r="P17" s="431">
        <f>SUM(P18:P26)</f>
        <v>2250000</v>
      </c>
      <c r="Q17" s="431">
        <f t="shared" si="5"/>
        <v>0</v>
      </c>
      <c r="R17" s="431">
        <f t="shared" si="5"/>
        <v>0</v>
      </c>
      <c r="S17" s="431">
        <f t="shared" si="5"/>
        <v>0</v>
      </c>
      <c r="T17" s="431">
        <f t="shared" si="5"/>
        <v>0</v>
      </c>
      <c r="U17" s="431">
        <f t="shared" si="5"/>
        <v>0</v>
      </c>
      <c r="V17" s="431">
        <f t="shared" si="5"/>
        <v>0</v>
      </c>
    </row>
    <row r="18" spans="1:22" s="423" customFormat="1" ht="18" customHeight="1">
      <c r="A18" s="437"/>
      <c r="B18" s="437"/>
      <c r="C18" s="437"/>
      <c r="D18" s="438">
        <v>4</v>
      </c>
      <c r="E18" s="438">
        <v>1</v>
      </c>
      <c r="F18" s="438">
        <v>2</v>
      </c>
      <c r="G18" s="439" t="s">
        <v>960</v>
      </c>
      <c r="H18" s="438" t="s">
        <v>965</v>
      </c>
      <c r="I18" s="437"/>
      <c r="J18" s="440">
        <f>SUM(M18:V18)</f>
        <v>8000000</v>
      </c>
      <c r="K18" s="527"/>
      <c r="L18" s="441"/>
      <c r="M18" s="442">
        <v>8000000</v>
      </c>
      <c r="N18" s="442"/>
      <c r="O18" s="442"/>
      <c r="P18" s="442"/>
      <c r="Q18" s="442"/>
      <c r="R18" s="442"/>
      <c r="S18" s="442"/>
      <c r="T18" s="442"/>
      <c r="U18" s="442"/>
      <c r="V18" s="442"/>
    </row>
    <row r="19" spans="1:22" s="423" customFormat="1" ht="18" customHeight="1">
      <c r="A19" s="437"/>
      <c r="B19" s="437"/>
      <c r="C19" s="437"/>
      <c r="D19" s="438">
        <v>4</v>
      </c>
      <c r="E19" s="438">
        <v>1</v>
      </c>
      <c r="F19" s="438">
        <v>2</v>
      </c>
      <c r="G19" s="439" t="s">
        <v>966</v>
      </c>
      <c r="H19" s="438" t="s">
        <v>967</v>
      </c>
      <c r="I19" s="437"/>
      <c r="J19" s="440">
        <f t="shared" si="4"/>
        <v>0</v>
      </c>
      <c r="K19" s="527"/>
      <c r="L19" s="441"/>
      <c r="M19" s="442"/>
      <c r="N19" s="442"/>
      <c r="O19" s="442"/>
      <c r="P19" s="442"/>
      <c r="Q19" s="442"/>
      <c r="R19" s="442"/>
      <c r="S19" s="442"/>
      <c r="T19" s="442"/>
      <c r="U19" s="442"/>
      <c r="V19" s="442"/>
    </row>
    <row r="20" spans="1:22" s="423" customFormat="1" ht="18" customHeight="1">
      <c r="A20" s="437"/>
      <c r="B20" s="437"/>
      <c r="C20" s="437"/>
      <c r="D20" s="438">
        <v>4</v>
      </c>
      <c r="E20" s="438">
        <v>1</v>
      </c>
      <c r="F20" s="438">
        <v>2</v>
      </c>
      <c r="G20" s="439" t="s">
        <v>968</v>
      </c>
      <c r="H20" s="438" t="s">
        <v>969</v>
      </c>
      <c r="I20" s="437"/>
      <c r="J20" s="440">
        <f t="shared" si="4"/>
        <v>0</v>
      </c>
      <c r="K20" s="527"/>
      <c r="L20" s="441"/>
      <c r="M20" s="442"/>
      <c r="N20" s="442"/>
      <c r="O20" s="442"/>
      <c r="P20" s="442"/>
      <c r="Q20" s="442"/>
      <c r="R20" s="442"/>
      <c r="S20" s="442"/>
      <c r="T20" s="442"/>
      <c r="U20" s="442"/>
      <c r="V20" s="442"/>
    </row>
    <row r="21" spans="1:22" s="423" customFormat="1" ht="18" customHeight="1">
      <c r="A21" s="437"/>
      <c r="B21" s="437"/>
      <c r="C21" s="437"/>
      <c r="D21" s="438">
        <v>4</v>
      </c>
      <c r="E21" s="438">
        <v>1</v>
      </c>
      <c r="F21" s="438">
        <v>2</v>
      </c>
      <c r="G21" s="439" t="s">
        <v>970</v>
      </c>
      <c r="H21" s="438" t="s">
        <v>971</v>
      </c>
      <c r="I21" s="437"/>
      <c r="J21" s="440">
        <f t="shared" si="4"/>
        <v>0</v>
      </c>
      <c r="K21" s="527"/>
      <c r="L21" s="441"/>
      <c r="M21" s="442"/>
      <c r="N21" s="442"/>
      <c r="O21" s="442"/>
      <c r="P21" s="442"/>
      <c r="Q21" s="442"/>
      <c r="R21" s="442"/>
      <c r="S21" s="442"/>
      <c r="T21" s="442"/>
      <c r="U21" s="442"/>
      <c r="V21" s="442"/>
    </row>
    <row r="22" spans="1:22" s="423" customFormat="1" ht="21" customHeight="1">
      <c r="A22" s="437"/>
      <c r="B22" s="437"/>
      <c r="C22" s="437"/>
      <c r="D22" s="438">
        <v>4</v>
      </c>
      <c r="E22" s="438">
        <v>1</v>
      </c>
      <c r="F22" s="438">
        <v>2</v>
      </c>
      <c r="G22" s="439" t="s">
        <v>972</v>
      </c>
      <c r="H22" s="438" t="s">
        <v>973</v>
      </c>
      <c r="I22" s="437"/>
      <c r="J22" s="440">
        <f t="shared" si="4"/>
        <v>0</v>
      </c>
      <c r="K22" s="527"/>
      <c r="L22" s="441"/>
      <c r="M22" s="442"/>
      <c r="N22" s="442"/>
      <c r="O22" s="442"/>
      <c r="P22" s="442"/>
      <c r="Q22" s="442"/>
      <c r="R22" s="442"/>
      <c r="S22" s="442"/>
      <c r="T22" s="442"/>
      <c r="U22" s="442"/>
      <c r="V22" s="442"/>
    </row>
    <row r="23" spans="1:22" s="423" customFormat="1" ht="21" customHeight="1">
      <c r="A23" s="437"/>
      <c r="B23" s="437"/>
      <c r="C23" s="437"/>
      <c r="D23" s="438">
        <v>4</v>
      </c>
      <c r="E23" s="438">
        <v>1</v>
      </c>
      <c r="F23" s="438">
        <v>2</v>
      </c>
      <c r="G23" s="439" t="s">
        <v>974</v>
      </c>
      <c r="H23" s="438" t="s">
        <v>975</v>
      </c>
      <c r="I23" s="437"/>
      <c r="J23" s="440">
        <f t="shared" si="4"/>
        <v>0</v>
      </c>
      <c r="K23" s="527"/>
      <c r="L23" s="441"/>
      <c r="M23" s="442"/>
      <c r="N23" s="442"/>
      <c r="O23" s="442"/>
      <c r="P23" s="442"/>
      <c r="Q23" s="442"/>
      <c r="R23" s="442"/>
      <c r="S23" s="442"/>
      <c r="T23" s="442"/>
      <c r="U23" s="442"/>
      <c r="V23" s="442"/>
    </row>
    <row r="24" spans="1:22" s="423" customFormat="1" ht="21" customHeight="1">
      <c r="A24" s="437"/>
      <c r="B24" s="437"/>
      <c r="C24" s="437"/>
      <c r="D24" s="438">
        <v>4</v>
      </c>
      <c r="E24" s="438">
        <v>1</v>
      </c>
      <c r="F24" s="438">
        <v>2</v>
      </c>
      <c r="G24" s="439" t="s">
        <v>976</v>
      </c>
      <c r="H24" s="438" t="s">
        <v>977</v>
      </c>
      <c r="I24" s="437"/>
      <c r="J24" s="440">
        <f t="shared" si="4"/>
        <v>3600000</v>
      </c>
      <c r="K24" s="527"/>
      <c r="L24" s="441"/>
      <c r="M24" s="442"/>
      <c r="N24" s="442">
        <v>3600000</v>
      </c>
      <c r="O24" s="442"/>
      <c r="P24" s="442"/>
      <c r="Q24" s="442"/>
      <c r="R24" s="442"/>
      <c r="S24" s="442"/>
      <c r="T24" s="442"/>
      <c r="U24" s="442"/>
      <c r="V24" s="442"/>
    </row>
    <row r="25" spans="1:22" s="423" customFormat="1" ht="21" customHeight="1">
      <c r="A25" s="437"/>
      <c r="B25" s="437"/>
      <c r="C25" s="437"/>
      <c r="D25" s="438">
        <v>4</v>
      </c>
      <c r="E25" s="438">
        <v>1</v>
      </c>
      <c r="F25" s="438">
        <v>2</v>
      </c>
      <c r="G25" s="439" t="s">
        <v>978</v>
      </c>
      <c r="H25" s="438" t="s">
        <v>979</v>
      </c>
      <c r="I25" s="437"/>
      <c r="J25" s="440">
        <f t="shared" si="4"/>
        <v>0</v>
      </c>
      <c r="K25" s="527"/>
      <c r="L25" s="441"/>
      <c r="M25" s="442"/>
      <c r="N25" s="442"/>
      <c r="O25" s="442"/>
      <c r="P25" s="442"/>
      <c r="Q25" s="442"/>
      <c r="R25" s="442"/>
      <c r="S25" s="442"/>
      <c r="T25" s="442"/>
      <c r="U25" s="442"/>
      <c r="V25" s="442"/>
    </row>
    <row r="26" spans="1:22" s="420" customFormat="1" ht="21" customHeight="1">
      <c r="A26" s="428"/>
      <c r="B26" s="428"/>
      <c r="C26" s="428"/>
      <c r="D26" s="429">
        <v>4</v>
      </c>
      <c r="E26" s="429">
        <v>1</v>
      </c>
      <c r="F26" s="429">
        <v>2</v>
      </c>
      <c r="G26" s="430" t="s">
        <v>962</v>
      </c>
      <c r="H26" s="429" t="s">
        <v>963</v>
      </c>
      <c r="I26" s="428"/>
      <c r="J26" s="431">
        <f>SUM(J27:J29)</f>
        <v>2250000</v>
      </c>
      <c r="K26" s="432"/>
      <c r="L26" s="432">
        <f t="shared" ref="L26:V26" si="6">SUM(L27:L29)</f>
        <v>0</v>
      </c>
      <c r="M26" s="431">
        <f t="shared" si="6"/>
        <v>0</v>
      </c>
      <c r="N26" s="431">
        <f t="shared" si="6"/>
        <v>0</v>
      </c>
      <c r="O26" s="431">
        <f t="shared" si="6"/>
        <v>0</v>
      </c>
      <c r="P26" s="431">
        <f>SUM(P27:P29)</f>
        <v>2250000</v>
      </c>
      <c r="Q26" s="431">
        <f t="shared" si="6"/>
        <v>0</v>
      </c>
      <c r="R26" s="431">
        <f t="shared" si="6"/>
        <v>0</v>
      </c>
      <c r="S26" s="431">
        <f t="shared" si="6"/>
        <v>0</v>
      </c>
      <c r="T26" s="431">
        <f t="shared" si="6"/>
        <v>0</v>
      </c>
      <c r="U26" s="431">
        <f t="shared" si="6"/>
        <v>0</v>
      </c>
      <c r="V26" s="431">
        <f t="shared" si="6"/>
        <v>0</v>
      </c>
    </row>
    <row r="27" spans="1:22" s="423" customFormat="1" ht="21" customHeight="1">
      <c r="A27" s="437"/>
      <c r="B27" s="437"/>
      <c r="C27" s="437"/>
      <c r="D27" s="438"/>
      <c r="E27" s="438"/>
      <c r="F27" s="438"/>
      <c r="G27" s="443"/>
      <c r="H27" s="438" t="s">
        <v>980</v>
      </c>
      <c r="I27" s="437"/>
      <c r="J27" s="440">
        <f t="shared" si="4"/>
        <v>1000000</v>
      </c>
      <c r="K27" s="527"/>
      <c r="L27" s="441"/>
      <c r="M27" s="442"/>
      <c r="N27" s="442"/>
      <c r="O27" s="442"/>
      <c r="P27" s="442">
        <v>1000000</v>
      </c>
      <c r="Q27" s="442"/>
      <c r="R27" s="442"/>
      <c r="S27" s="442"/>
      <c r="T27" s="442"/>
      <c r="U27" s="442"/>
      <c r="V27" s="442"/>
    </row>
    <row r="28" spans="1:22" s="423" customFormat="1" ht="21" customHeight="1">
      <c r="A28" s="437"/>
      <c r="B28" s="437"/>
      <c r="C28" s="437"/>
      <c r="D28" s="438"/>
      <c r="E28" s="438"/>
      <c r="F28" s="438"/>
      <c r="G28" s="443"/>
      <c r="H28" s="438" t="s">
        <v>981</v>
      </c>
      <c r="I28" s="437"/>
      <c r="J28" s="440">
        <f t="shared" si="4"/>
        <v>250000</v>
      </c>
      <c r="K28" s="527"/>
      <c r="L28" s="441"/>
      <c r="M28" s="442"/>
      <c r="N28" s="442"/>
      <c r="O28" s="442"/>
      <c r="P28" s="442">
        <v>250000</v>
      </c>
      <c r="Q28" s="442"/>
      <c r="R28" s="442"/>
      <c r="S28" s="442"/>
      <c r="T28" s="442"/>
      <c r="U28" s="442"/>
      <c r="V28" s="442"/>
    </row>
    <row r="29" spans="1:22" s="423" customFormat="1" ht="21" customHeight="1">
      <c r="A29" s="437"/>
      <c r="B29" s="437"/>
      <c r="C29" s="437"/>
      <c r="D29" s="438"/>
      <c r="E29" s="438"/>
      <c r="F29" s="438"/>
      <c r="G29" s="443"/>
      <c r="H29" s="438" t="s">
        <v>982</v>
      </c>
      <c r="I29" s="437"/>
      <c r="J29" s="440">
        <f t="shared" si="4"/>
        <v>1000000</v>
      </c>
      <c r="K29" s="527"/>
      <c r="L29" s="441"/>
      <c r="M29" s="442"/>
      <c r="N29" s="442"/>
      <c r="O29" s="442"/>
      <c r="P29" s="442">
        <v>1000000</v>
      </c>
      <c r="Q29" s="442"/>
      <c r="R29" s="442"/>
      <c r="S29" s="442"/>
      <c r="T29" s="442"/>
      <c r="U29" s="442"/>
      <c r="V29" s="442"/>
    </row>
    <row r="30" spans="1:22" s="436" customFormat="1" ht="18" customHeight="1">
      <c r="A30" s="433"/>
      <c r="B30" s="433"/>
      <c r="C30" s="433"/>
      <c r="D30" s="429">
        <v>4</v>
      </c>
      <c r="E30" s="434">
        <v>1</v>
      </c>
      <c r="F30" s="434">
        <v>3</v>
      </c>
      <c r="G30" s="435"/>
      <c r="H30" s="434" t="s">
        <v>983</v>
      </c>
      <c r="I30" s="428"/>
      <c r="J30" s="431">
        <f>SUM(J31:J32)</f>
        <v>0</v>
      </c>
      <c r="K30" s="432"/>
      <c r="L30" s="432">
        <f t="shared" ref="L30:V30" si="7">SUM(L31:L32)</f>
        <v>0</v>
      </c>
      <c r="M30" s="431">
        <f t="shared" si="7"/>
        <v>0</v>
      </c>
      <c r="N30" s="431">
        <f t="shared" si="7"/>
        <v>0</v>
      </c>
      <c r="O30" s="431">
        <f t="shared" si="7"/>
        <v>0</v>
      </c>
      <c r="P30" s="431">
        <f t="shared" si="7"/>
        <v>0</v>
      </c>
      <c r="Q30" s="431">
        <f t="shared" si="7"/>
        <v>0</v>
      </c>
      <c r="R30" s="431">
        <f t="shared" si="7"/>
        <v>0</v>
      </c>
      <c r="S30" s="431">
        <f t="shared" si="7"/>
        <v>0</v>
      </c>
      <c r="T30" s="431">
        <f t="shared" si="7"/>
        <v>0</v>
      </c>
      <c r="U30" s="431">
        <f t="shared" si="7"/>
        <v>0</v>
      </c>
      <c r="V30" s="431">
        <f t="shared" si="7"/>
        <v>0</v>
      </c>
    </row>
    <row r="31" spans="1:22" s="423" customFormat="1" ht="21" customHeight="1">
      <c r="A31" s="437"/>
      <c r="B31" s="437"/>
      <c r="C31" s="437"/>
      <c r="D31" s="438">
        <v>4</v>
      </c>
      <c r="E31" s="438">
        <v>1</v>
      </c>
      <c r="F31" s="438">
        <v>3</v>
      </c>
      <c r="G31" s="439" t="s">
        <v>960</v>
      </c>
      <c r="H31" s="438" t="s">
        <v>984</v>
      </c>
      <c r="I31" s="437"/>
      <c r="J31" s="440">
        <f t="shared" si="4"/>
        <v>0</v>
      </c>
      <c r="K31" s="527"/>
      <c r="L31" s="441"/>
      <c r="M31" s="442"/>
      <c r="N31" s="442"/>
      <c r="O31" s="442"/>
      <c r="P31" s="442"/>
      <c r="Q31" s="442"/>
      <c r="R31" s="442"/>
      <c r="S31" s="442"/>
      <c r="T31" s="442"/>
      <c r="U31" s="442"/>
      <c r="V31" s="442"/>
    </row>
    <row r="32" spans="1:22" s="423" customFormat="1" ht="21" customHeight="1">
      <c r="A32" s="437"/>
      <c r="B32" s="437"/>
      <c r="C32" s="437"/>
      <c r="D32" s="438">
        <v>4</v>
      </c>
      <c r="E32" s="438">
        <v>1</v>
      </c>
      <c r="F32" s="438">
        <v>3</v>
      </c>
      <c r="G32" s="443" t="s">
        <v>962</v>
      </c>
      <c r="H32" s="438" t="s">
        <v>985</v>
      </c>
      <c r="I32" s="437"/>
      <c r="J32" s="440">
        <f t="shared" si="4"/>
        <v>0</v>
      </c>
      <c r="K32" s="527"/>
      <c r="L32" s="441"/>
      <c r="M32" s="442"/>
      <c r="N32" s="442"/>
      <c r="O32" s="442"/>
      <c r="P32" s="442"/>
      <c r="Q32" s="442"/>
      <c r="R32" s="442"/>
      <c r="S32" s="442"/>
      <c r="T32" s="442"/>
      <c r="U32" s="442"/>
      <c r="V32" s="442"/>
    </row>
    <row r="33" spans="1:22" s="436" customFormat="1" ht="21" customHeight="1">
      <c r="A33" s="433"/>
      <c r="B33" s="433"/>
      <c r="C33" s="433"/>
      <c r="D33" s="429">
        <v>4</v>
      </c>
      <c r="E33" s="434">
        <v>1</v>
      </c>
      <c r="F33" s="434">
        <v>4</v>
      </c>
      <c r="G33" s="435"/>
      <c r="H33" s="434" t="s">
        <v>986</v>
      </c>
      <c r="I33" s="428"/>
      <c r="J33" s="431">
        <f>SUM(J34:J35)</f>
        <v>0</v>
      </c>
      <c r="K33" s="432"/>
      <c r="L33" s="432">
        <f t="shared" ref="L33:V33" si="8">SUM(L34:L35)</f>
        <v>0</v>
      </c>
      <c r="M33" s="431">
        <f t="shared" si="8"/>
        <v>0</v>
      </c>
      <c r="N33" s="431">
        <f t="shared" si="8"/>
        <v>0</v>
      </c>
      <c r="O33" s="431">
        <f t="shared" si="8"/>
        <v>0</v>
      </c>
      <c r="P33" s="431">
        <f t="shared" si="8"/>
        <v>0</v>
      </c>
      <c r="Q33" s="431">
        <f t="shared" si="8"/>
        <v>0</v>
      </c>
      <c r="R33" s="431">
        <f t="shared" si="8"/>
        <v>0</v>
      </c>
      <c r="S33" s="431">
        <f t="shared" si="8"/>
        <v>0</v>
      </c>
      <c r="T33" s="431">
        <f t="shared" si="8"/>
        <v>0</v>
      </c>
      <c r="U33" s="431">
        <f t="shared" si="8"/>
        <v>0</v>
      </c>
      <c r="V33" s="431">
        <f t="shared" si="8"/>
        <v>0</v>
      </c>
    </row>
    <row r="34" spans="1:22" s="423" customFormat="1" ht="21" customHeight="1">
      <c r="A34" s="437"/>
      <c r="B34" s="437"/>
      <c r="C34" s="437"/>
      <c r="D34" s="438">
        <v>4</v>
      </c>
      <c r="E34" s="438">
        <v>1</v>
      </c>
      <c r="F34" s="438">
        <v>4</v>
      </c>
      <c r="G34" s="439" t="s">
        <v>960</v>
      </c>
      <c r="H34" s="438" t="s">
        <v>987</v>
      </c>
      <c r="I34" s="437"/>
      <c r="J34" s="440">
        <f t="shared" si="4"/>
        <v>0</v>
      </c>
      <c r="K34" s="527"/>
      <c r="L34" s="441"/>
      <c r="M34" s="442"/>
      <c r="N34" s="442"/>
      <c r="O34" s="442"/>
      <c r="P34" s="442"/>
      <c r="Q34" s="442"/>
      <c r="R34" s="442"/>
      <c r="S34" s="442"/>
      <c r="T34" s="442"/>
      <c r="U34" s="442"/>
      <c r="V34" s="442"/>
    </row>
    <row r="35" spans="1:22" s="423" customFormat="1" ht="21" customHeight="1">
      <c r="A35" s="437"/>
      <c r="B35" s="437"/>
      <c r="C35" s="437"/>
      <c r="D35" s="438">
        <v>4</v>
      </c>
      <c r="E35" s="438">
        <v>1</v>
      </c>
      <c r="F35" s="438">
        <v>4</v>
      </c>
      <c r="G35" s="443" t="s">
        <v>962</v>
      </c>
      <c r="H35" s="438" t="s">
        <v>963</v>
      </c>
      <c r="I35" s="437"/>
      <c r="J35" s="440">
        <f t="shared" si="4"/>
        <v>0</v>
      </c>
      <c r="K35" s="527"/>
      <c r="L35" s="441"/>
      <c r="M35" s="442"/>
      <c r="N35" s="442"/>
      <c r="O35" s="442"/>
      <c r="P35" s="442"/>
      <c r="Q35" s="442"/>
      <c r="R35" s="442"/>
      <c r="S35" s="442"/>
      <c r="T35" s="442"/>
      <c r="U35" s="442"/>
      <c r="V35" s="442"/>
    </row>
    <row r="36" spans="1:22" s="420" customFormat="1" ht="21" customHeight="1">
      <c r="A36" s="428"/>
      <c r="B36" s="428"/>
      <c r="C36" s="428"/>
      <c r="D36" s="429">
        <v>4</v>
      </c>
      <c r="E36" s="429">
        <v>2</v>
      </c>
      <c r="F36" s="429" t="s">
        <v>956</v>
      </c>
      <c r="G36" s="430"/>
      <c r="H36" s="429" t="s">
        <v>988</v>
      </c>
      <c r="I36" s="428"/>
      <c r="J36" s="431">
        <f>J37+J39+J41+J43+J46</f>
        <v>2485576700</v>
      </c>
      <c r="K36" s="432"/>
      <c r="L36" s="432">
        <f t="shared" ref="L36:U36" si="9">L37+L39+L41+L43+L46</f>
        <v>0</v>
      </c>
      <c r="M36" s="431">
        <f t="shared" si="9"/>
        <v>0</v>
      </c>
      <c r="N36" s="431">
        <f t="shared" si="9"/>
        <v>0</v>
      </c>
      <c r="O36" s="431">
        <f t="shared" si="9"/>
        <v>0</v>
      </c>
      <c r="P36" s="431">
        <f t="shared" si="9"/>
        <v>0</v>
      </c>
      <c r="Q36" s="431">
        <f t="shared" si="9"/>
        <v>0</v>
      </c>
      <c r="R36" s="431">
        <f t="shared" si="9"/>
        <v>1198676000</v>
      </c>
      <c r="S36" s="431">
        <f t="shared" si="9"/>
        <v>867093200</v>
      </c>
      <c r="T36" s="431">
        <f t="shared" si="9"/>
        <v>69807500</v>
      </c>
      <c r="U36" s="431">
        <f t="shared" si="9"/>
        <v>350000000</v>
      </c>
      <c r="V36" s="431">
        <f>V37+V39+V41+V43+V46</f>
        <v>0</v>
      </c>
    </row>
    <row r="37" spans="1:22" s="436" customFormat="1" ht="19.5" customHeight="1">
      <c r="A37" s="433"/>
      <c r="B37" s="433"/>
      <c r="C37" s="433"/>
      <c r="D37" s="429">
        <v>4</v>
      </c>
      <c r="E37" s="434">
        <v>2</v>
      </c>
      <c r="F37" s="434">
        <v>1</v>
      </c>
      <c r="G37" s="435"/>
      <c r="H37" s="434" t="s">
        <v>989</v>
      </c>
      <c r="I37" s="428"/>
      <c r="J37" s="431">
        <f>SUM(J38)</f>
        <v>1198676000</v>
      </c>
      <c r="K37" s="432"/>
      <c r="L37" s="432">
        <f t="shared" ref="L37:V37" si="10">SUM(L38)</f>
        <v>0</v>
      </c>
      <c r="M37" s="431">
        <f t="shared" si="10"/>
        <v>0</v>
      </c>
      <c r="N37" s="431">
        <f t="shared" si="10"/>
        <v>0</v>
      </c>
      <c r="O37" s="431">
        <f t="shared" si="10"/>
        <v>0</v>
      </c>
      <c r="P37" s="431">
        <f t="shared" si="10"/>
        <v>0</v>
      </c>
      <c r="Q37" s="431">
        <f t="shared" si="10"/>
        <v>0</v>
      </c>
      <c r="R37" s="431">
        <f t="shared" si="10"/>
        <v>1198676000</v>
      </c>
      <c r="S37" s="431">
        <f t="shared" si="10"/>
        <v>0</v>
      </c>
      <c r="T37" s="431">
        <f t="shared" si="10"/>
        <v>0</v>
      </c>
      <c r="U37" s="431">
        <f t="shared" si="10"/>
        <v>0</v>
      </c>
      <c r="V37" s="431">
        <f t="shared" si="10"/>
        <v>0</v>
      </c>
    </row>
    <row r="38" spans="1:22" s="423" customFormat="1" ht="18" customHeight="1">
      <c r="A38" s="437"/>
      <c r="B38" s="437"/>
      <c r="C38" s="437"/>
      <c r="D38" s="438">
        <v>4</v>
      </c>
      <c r="E38" s="438">
        <v>2</v>
      </c>
      <c r="F38" s="438">
        <v>1</v>
      </c>
      <c r="G38" s="439" t="s">
        <v>960</v>
      </c>
      <c r="H38" s="438" t="s">
        <v>989</v>
      </c>
      <c r="I38" s="437"/>
      <c r="J38" s="440">
        <f t="shared" si="4"/>
        <v>1198676000</v>
      </c>
      <c r="K38" s="527"/>
      <c r="L38" s="441"/>
      <c r="M38" s="442"/>
      <c r="N38" s="442"/>
      <c r="O38" s="442"/>
      <c r="P38" s="442"/>
      <c r="Q38" s="442"/>
      <c r="R38" s="442">
        <v>1198676000</v>
      </c>
      <c r="S38" s="442"/>
      <c r="T38" s="442"/>
      <c r="U38" s="442"/>
      <c r="V38" s="442"/>
    </row>
    <row r="39" spans="1:22" s="436" customFormat="1" ht="18" customHeight="1">
      <c r="A39" s="433"/>
      <c r="B39" s="433"/>
      <c r="C39" s="433"/>
      <c r="D39" s="429">
        <v>4</v>
      </c>
      <c r="E39" s="434">
        <v>2</v>
      </c>
      <c r="F39" s="434">
        <v>2</v>
      </c>
      <c r="G39" s="435"/>
      <c r="H39" s="434" t="s">
        <v>990</v>
      </c>
      <c r="I39" s="428"/>
      <c r="J39" s="431">
        <f>SUM(J40)</f>
        <v>69807500</v>
      </c>
      <c r="K39" s="432"/>
      <c r="L39" s="432">
        <f t="shared" ref="L39:V39" si="11">SUM(L40)</f>
        <v>0</v>
      </c>
      <c r="M39" s="431">
        <f t="shared" si="11"/>
        <v>0</v>
      </c>
      <c r="N39" s="431">
        <f t="shared" si="11"/>
        <v>0</v>
      </c>
      <c r="O39" s="431">
        <f t="shared" si="11"/>
        <v>0</v>
      </c>
      <c r="P39" s="431">
        <f t="shared" si="11"/>
        <v>0</v>
      </c>
      <c r="Q39" s="431">
        <f t="shared" si="11"/>
        <v>0</v>
      </c>
      <c r="R39" s="431">
        <f t="shared" si="11"/>
        <v>0</v>
      </c>
      <c r="S39" s="431">
        <f t="shared" si="11"/>
        <v>0</v>
      </c>
      <c r="T39" s="431">
        <f t="shared" si="11"/>
        <v>69807500</v>
      </c>
      <c r="U39" s="431">
        <f t="shared" si="11"/>
        <v>0</v>
      </c>
      <c r="V39" s="431">
        <f t="shared" si="11"/>
        <v>0</v>
      </c>
    </row>
    <row r="40" spans="1:22" s="423" customFormat="1" ht="18" customHeight="1">
      <c r="A40" s="437"/>
      <c r="B40" s="437"/>
      <c r="C40" s="437"/>
      <c r="D40" s="438">
        <v>4</v>
      </c>
      <c r="E40" s="438">
        <v>2</v>
      </c>
      <c r="F40" s="438">
        <v>2</v>
      </c>
      <c r="G40" s="439" t="s">
        <v>960</v>
      </c>
      <c r="H40" s="438" t="s">
        <v>990</v>
      </c>
      <c r="I40" s="437"/>
      <c r="J40" s="440">
        <f t="shared" si="4"/>
        <v>69807500</v>
      </c>
      <c r="K40" s="527"/>
      <c r="L40" s="441"/>
      <c r="M40" s="442"/>
      <c r="N40" s="442"/>
      <c r="O40" s="442"/>
      <c r="P40" s="442"/>
      <c r="Q40" s="442"/>
      <c r="R40" s="442"/>
      <c r="S40" s="442"/>
      <c r="T40" s="442">
        <f>69807500</f>
        <v>69807500</v>
      </c>
      <c r="U40" s="442"/>
      <c r="V40" s="442"/>
    </row>
    <row r="41" spans="1:22" s="436" customFormat="1" ht="18" customHeight="1">
      <c r="A41" s="433"/>
      <c r="B41" s="433"/>
      <c r="C41" s="433"/>
      <c r="D41" s="429">
        <v>4</v>
      </c>
      <c r="E41" s="434">
        <v>2</v>
      </c>
      <c r="F41" s="434">
        <v>3</v>
      </c>
      <c r="G41" s="435"/>
      <c r="H41" s="434" t="s">
        <v>991</v>
      </c>
      <c r="I41" s="428"/>
      <c r="J41" s="431">
        <f>SUM(J42)</f>
        <v>867093200</v>
      </c>
      <c r="K41" s="432"/>
      <c r="L41" s="432">
        <f t="shared" ref="L41:V41" si="12">SUM(L42)</f>
        <v>0</v>
      </c>
      <c r="M41" s="431">
        <f t="shared" si="12"/>
        <v>0</v>
      </c>
      <c r="N41" s="431">
        <f t="shared" si="12"/>
        <v>0</v>
      </c>
      <c r="O41" s="431">
        <f t="shared" si="12"/>
        <v>0</v>
      </c>
      <c r="P41" s="431">
        <f t="shared" si="12"/>
        <v>0</v>
      </c>
      <c r="Q41" s="431">
        <f t="shared" si="12"/>
        <v>0</v>
      </c>
      <c r="R41" s="431">
        <f t="shared" si="12"/>
        <v>0</v>
      </c>
      <c r="S41" s="431">
        <f t="shared" si="12"/>
        <v>867093200</v>
      </c>
      <c r="T41" s="431"/>
      <c r="U41" s="431">
        <f t="shared" si="12"/>
        <v>0</v>
      </c>
      <c r="V41" s="431">
        <f t="shared" si="12"/>
        <v>0</v>
      </c>
    </row>
    <row r="42" spans="1:22" s="423" customFormat="1" ht="21" customHeight="1">
      <c r="A42" s="437"/>
      <c r="B42" s="437"/>
      <c r="C42" s="437"/>
      <c r="D42" s="438">
        <v>4</v>
      </c>
      <c r="E42" s="438">
        <v>2</v>
      </c>
      <c r="F42" s="438">
        <v>3</v>
      </c>
      <c r="G42" s="439" t="s">
        <v>960</v>
      </c>
      <c r="H42" s="438" t="s">
        <v>991</v>
      </c>
      <c r="I42" s="437"/>
      <c r="J42" s="440">
        <f t="shared" si="4"/>
        <v>867093200</v>
      </c>
      <c r="K42" s="527"/>
      <c r="L42" s="441"/>
      <c r="M42" s="442"/>
      <c r="N42" s="442"/>
      <c r="O42" s="442"/>
      <c r="P42" s="442"/>
      <c r="Q42" s="442"/>
      <c r="R42" s="442"/>
      <c r="S42" s="442">
        <v>867093200</v>
      </c>
      <c r="T42" s="442"/>
      <c r="U42" s="442"/>
      <c r="V42" s="442"/>
    </row>
    <row r="43" spans="1:22" s="436" customFormat="1" ht="18" customHeight="1">
      <c r="A43" s="433"/>
      <c r="B43" s="433"/>
      <c r="C43" s="433"/>
      <c r="D43" s="429">
        <v>4</v>
      </c>
      <c r="E43" s="434">
        <v>2</v>
      </c>
      <c r="F43" s="434">
        <v>4</v>
      </c>
      <c r="G43" s="435"/>
      <c r="H43" s="434" t="s">
        <v>992</v>
      </c>
      <c r="I43" s="428"/>
      <c r="J43" s="431">
        <f>SUM(J44:J45)</f>
        <v>0</v>
      </c>
      <c r="K43" s="432"/>
      <c r="L43" s="432">
        <f t="shared" ref="L43:V43" si="13">SUM(L44:L45)</f>
        <v>0</v>
      </c>
      <c r="M43" s="431">
        <f t="shared" si="13"/>
        <v>0</v>
      </c>
      <c r="N43" s="431">
        <f t="shared" si="13"/>
        <v>0</v>
      </c>
      <c r="O43" s="431">
        <f t="shared" si="13"/>
        <v>0</v>
      </c>
      <c r="P43" s="431">
        <f t="shared" si="13"/>
        <v>0</v>
      </c>
      <c r="Q43" s="431">
        <f t="shared" si="13"/>
        <v>0</v>
      </c>
      <c r="R43" s="431">
        <f t="shared" si="13"/>
        <v>0</v>
      </c>
      <c r="S43" s="431">
        <f t="shared" si="13"/>
        <v>0</v>
      </c>
      <c r="T43" s="431">
        <f t="shared" si="13"/>
        <v>0</v>
      </c>
      <c r="U43" s="431">
        <f t="shared" si="13"/>
        <v>0</v>
      </c>
      <c r="V43" s="431">
        <f t="shared" si="13"/>
        <v>0</v>
      </c>
    </row>
    <row r="44" spans="1:22" s="423" customFormat="1" ht="21" customHeight="1">
      <c r="A44" s="437"/>
      <c r="B44" s="437"/>
      <c r="C44" s="437"/>
      <c r="D44" s="438">
        <v>4</v>
      </c>
      <c r="E44" s="438">
        <v>2</v>
      </c>
      <c r="F44" s="438">
        <v>4</v>
      </c>
      <c r="G44" s="439" t="s">
        <v>960</v>
      </c>
      <c r="H44" s="438" t="s">
        <v>993</v>
      </c>
      <c r="I44" s="437"/>
      <c r="J44" s="440">
        <f t="shared" si="4"/>
        <v>0</v>
      </c>
      <c r="K44" s="527"/>
      <c r="L44" s="441"/>
      <c r="M44" s="442"/>
      <c r="N44" s="442"/>
      <c r="O44" s="442"/>
      <c r="P44" s="442"/>
      <c r="Q44" s="442"/>
      <c r="R44" s="442"/>
      <c r="S44" s="442"/>
      <c r="T44" s="442"/>
      <c r="U44" s="442"/>
      <c r="V44" s="442"/>
    </row>
    <row r="45" spans="1:22" s="423" customFormat="1" ht="21" customHeight="1">
      <c r="A45" s="437"/>
      <c r="B45" s="437"/>
      <c r="C45" s="437"/>
      <c r="D45" s="438">
        <v>4</v>
      </c>
      <c r="E45" s="438">
        <v>2</v>
      </c>
      <c r="F45" s="438">
        <v>4</v>
      </c>
      <c r="G45" s="443" t="s">
        <v>962</v>
      </c>
      <c r="H45" s="438" t="s">
        <v>994</v>
      </c>
      <c r="I45" s="437"/>
      <c r="J45" s="440">
        <f t="shared" si="4"/>
        <v>0</v>
      </c>
      <c r="K45" s="527"/>
      <c r="L45" s="441"/>
      <c r="M45" s="442"/>
      <c r="N45" s="442"/>
      <c r="O45" s="442"/>
      <c r="P45" s="442"/>
      <c r="Q45" s="442"/>
      <c r="R45" s="442"/>
      <c r="S45" s="442"/>
      <c r="T45" s="442"/>
      <c r="U45" s="442"/>
      <c r="V45" s="442"/>
    </row>
    <row r="46" spans="1:22" s="436" customFormat="1" ht="21" customHeight="1">
      <c r="A46" s="433"/>
      <c r="B46" s="433"/>
      <c r="C46" s="433"/>
      <c r="D46" s="429">
        <v>4</v>
      </c>
      <c r="E46" s="434">
        <v>2</v>
      </c>
      <c r="F46" s="434">
        <v>5</v>
      </c>
      <c r="G46" s="435"/>
      <c r="H46" s="434" t="s">
        <v>995</v>
      </c>
      <c r="I46" s="428"/>
      <c r="J46" s="431">
        <f>SUM(J47:J48)</f>
        <v>350000000</v>
      </c>
      <c r="K46" s="432"/>
      <c r="L46" s="432">
        <f>SUM(L47:L48)</f>
        <v>0</v>
      </c>
      <c r="M46" s="431">
        <f t="shared" ref="M46:V46" si="14">SUM(M47:M48)</f>
        <v>0</v>
      </c>
      <c r="N46" s="431">
        <f t="shared" si="14"/>
        <v>0</v>
      </c>
      <c r="O46" s="431">
        <f t="shared" si="14"/>
        <v>0</v>
      </c>
      <c r="P46" s="431">
        <f t="shared" si="14"/>
        <v>0</v>
      </c>
      <c r="Q46" s="431">
        <f t="shared" si="14"/>
        <v>0</v>
      </c>
      <c r="R46" s="431">
        <f t="shared" si="14"/>
        <v>0</v>
      </c>
      <c r="S46" s="431">
        <f t="shared" si="14"/>
        <v>0</v>
      </c>
      <c r="T46" s="431">
        <f t="shared" si="14"/>
        <v>0</v>
      </c>
      <c r="U46" s="431">
        <f t="shared" si="14"/>
        <v>350000000</v>
      </c>
      <c r="V46" s="431">
        <f t="shared" si="14"/>
        <v>0</v>
      </c>
    </row>
    <row r="47" spans="1:22" s="423" customFormat="1" ht="21" customHeight="1">
      <c r="A47" s="437"/>
      <c r="B47" s="437"/>
      <c r="C47" s="437"/>
      <c r="D47" s="438">
        <v>4</v>
      </c>
      <c r="E47" s="438">
        <v>2</v>
      </c>
      <c r="F47" s="438">
        <v>5</v>
      </c>
      <c r="G47" s="439" t="s">
        <v>960</v>
      </c>
      <c r="H47" s="438" t="s">
        <v>995</v>
      </c>
      <c r="I47" s="437"/>
      <c r="J47" s="440">
        <f t="shared" si="4"/>
        <v>350000000</v>
      </c>
      <c r="K47" s="527"/>
      <c r="L47" s="441"/>
      <c r="M47" s="442"/>
      <c r="N47" s="442"/>
      <c r="O47" s="442"/>
      <c r="P47" s="442"/>
      <c r="Q47" s="442"/>
      <c r="R47" s="442"/>
      <c r="S47" s="442"/>
      <c r="T47" s="442"/>
      <c r="U47" s="442">
        <f>350000000</f>
        <v>350000000</v>
      </c>
      <c r="V47" s="442"/>
    </row>
    <row r="48" spans="1:22" s="423" customFormat="1" ht="21" customHeight="1">
      <c r="A48" s="437"/>
      <c r="B48" s="437"/>
      <c r="C48" s="437"/>
      <c r="D48" s="438">
        <v>4</v>
      </c>
      <c r="E48" s="438">
        <v>2</v>
      </c>
      <c r="F48" s="438">
        <v>5</v>
      </c>
      <c r="G48" s="443" t="s">
        <v>962</v>
      </c>
      <c r="H48" s="438" t="s">
        <v>996</v>
      </c>
      <c r="I48" s="437"/>
      <c r="J48" s="440">
        <f t="shared" si="4"/>
        <v>0</v>
      </c>
      <c r="K48" s="527"/>
      <c r="L48" s="441"/>
      <c r="M48" s="442"/>
      <c r="N48" s="442"/>
      <c r="O48" s="442"/>
      <c r="P48" s="442"/>
      <c r="Q48" s="442"/>
      <c r="R48" s="442"/>
      <c r="S48" s="442"/>
      <c r="T48" s="442"/>
      <c r="U48" s="442"/>
      <c r="V48" s="442"/>
    </row>
    <row r="49" spans="1:22" s="436" customFormat="1" ht="18" customHeight="1">
      <c r="A49" s="433"/>
      <c r="B49" s="433"/>
      <c r="C49" s="433"/>
      <c r="D49" s="429">
        <v>4</v>
      </c>
      <c r="E49" s="429">
        <v>3</v>
      </c>
      <c r="F49" s="429" t="s">
        <v>956</v>
      </c>
      <c r="G49" s="430"/>
      <c r="H49" s="429" t="s">
        <v>997</v>
      </c>
      <c r="I49" s="428"/>
      <c r="J49" s="431">
        <f>J50+J52+J54+J56+J58+J60+J62</f>
        <v>1500000</v>
      </c>
      <c r="K49" s="432"/>
      <c r="L49" s="432">
        <f t="shared" ref="L49:V49" si="15">L50+L52+L54+L56+L58+L60+L62</f>
        <v>0</v>
      </c>
      <c r="M49" s="431">
        <f t="shared" si="15"/>
        <v>0</v>
      </c>
      <c r="N49" s="431">
        <f t="shared" si="15"/>
        <v>0</v>
      </c>
      <c r="O49" s="431">
        <f t="shared" si="15"/>
        <v>0</v>
      </c>
      <c r="P49" s="431">
        <f t="shared" si="15"/>
        <v>0</v>
      </c>
      <c r="Q49" s="431">
        <f t="shared" si="15"/>
        <v>1500000</v>
      </c>
      <c r="R49" s="431">
        <f t="shared" si="15"/>
        <v>0</v>
      </c>
      <c r="S49" s="431">
        <f t="shared" si="15"/>
        <v>0</v>
      </c>
      <c r="T49" s="431">
        <f t="shared" si="15"/>
        <v>0</v>
      </c>
      <c r="U49" s="431">
        <f t="shared" si="15"/>
        <v>0</v>
      </c>
      <c r="V49" s="431">
        <f t="shared" si="15"/>
        <v>0</v>
      </c>
    </row>
    <row r="50" spans="1:22" s="436" customFormat="1" ht="18" customHeight="1">
      <c r="A50" s="433"/>
      <c r="B50" s="433"/>
      <c r="C50" s="433"/>
      <c r="D50" s="429">
        <v>4</v>
      </c>
      <c r="E50" s="434">
        <v>3</v>
      </c>
      <c r="F50" s="434">
        <v>1</v>
      </c>
      <c r="G50" s="435"/>
      <c r="H50" s="434" t="s">
        <v>998</v>
      </c>
      <c r="I50" s="428"/>
      <c r="J50" s="431">
        <f>SUM(J51)</f>
        <v>0</v>
      </c>
      <c r="K50" s="432"/>
      <c r="L50" s="432">
        <f t="shared" ref="L50:V50" si="16">SUM(L51)</f>
        <v>0</v>
      </c>
      <c r="M50" s="431">
        <f t="shared" si="16"/>
        <v>0</v>
      </c>
      <c r="N50" s="431">
        <f t="shared" si="16"/>
        <v>0</v>
      </c>
      <c r="O50" s="431">
        <f t="shared" si="16"/>
        <v>0</v>
      </c>
      <c r="P50" s="431">
        <f t="shared" si="16"/>
        <v>0</v>
      </c>
      <c r="Q50" s="431">
        <f t="shared" si="16"/>
        <v>0</v>
      </c>
      <c r="R50" s="431">
        <f t="shared" si="16"/>
        <v>0</v>
      </c>
      <c r="S50" s="431">
        <f t="shared" si="16"/>
        <v>0</v>
      </c>
      <c r="T50" s="431">
        <f t="shared" si="16"/>
        <v>0</v>
      </c>
      <c r="U50" s="431">
        <f t="shared" si="16"/>
        <v>0</v>
      </c>
      <c r="V50" s="431">
        <f t="shared" si="16"/>
        <v>0</v>
      </c>
    </row>
    <row r="51" spans="1:22" s="423" customFormat="1" ht="18" customHeight="1">
      <c r="A51" s="437"/>
      <c r="B51" s="437"/>
      <c r="C51" s="437"/>
      <c r="D51" s="438">
        <v>4</v>
      </c>
      <c r="E51" s="438">
        <v>3</v>
      </c>
      <c r="F51" s="438">
        <v>1</v>
      </c>
      <c r="G51" s="439" t="s">
        <v>960</v>
      </c>
      <c r="H51" s="438" t="s">
        <v>998</v>
      </c>
      <c r="I51" s="437"/>
      <c r="J51" s="440">
        <f t="shared" si="4"/>
        <v>0</v>
      </c>
      <c r="K51" s="527"/>
      <c r="L51" s="441"/>
      <c r="M51" s="442"/>
      <c r="N51" s="442"/>
      <c r="O51" s="442"/>
      <c r="P51" s="442"/>
      <c r="Q51" s="442"/>
      <c r="R51" s="442"/>
      <c r="S51" s="442"/>
      <c r="T51" s="442"/>
      <c r="U51" s="442"/>
      <c r="V51" s="442"/>
    </row>
    <row r="52" spans="1:22" s="436" customFormat="1" ht="18" customHeight="1">
      <c r="A52" s="433"/>
      <c r="B52" s="433"/>
      <c r="C52" s="433"/>
      <c r="D52" s="429">
        <v>4</v>
      </c>
      <c r="E52" s="434">
        <v>3</v>
      </c>
      <c r="F52" s="434">
        <v>2</v>
      </c>
      <c r="G52" s="435"/>
      <c r="H52" s="434" t="s">
        <v>999</v>
      </c>
      <c r="I52" s="428"/>
      <c r="J52" s="431">
        <f>SUM(J53)</f>
        <v>0</v>
      </c>
      <c r="K52" s="432"/>
      <c r="L52" s="432">
        <f t="shared" ref="L52:V52" si="17">SUM(L53)</f>
        <v>0</v>
      </c>
      <c r="M52" s="431">
        <f t="shared" si="17"/>
        <v>0</v>
      </c>
      <c r="N52" s="431">
        <f t="shared" si="17"/>
        <v>0</v>
      </c>
      <c r="O52" s="431">
        <f t="shared" si="17"/>
        <v>0</v>
      </c>
      <c r="P52" s="431">
        <f t="shared" si="17"/>
        <v>0</v>
      </c>
      <c r="Q52" s="431">
        <f t="shared" si="17"/>
        <v>0</v>
      </c>
      <c r="R52" s="431">
        <f t="shared" si="17"/>
        <v>0</v>
      </c>
      <c r="S52" s="431">
        <f t="shared" si="17"/>
        <v>0</v>
      </c>
      <c r="T52" s="431">
        <f t="shared" si="17"/>
        <v>0</v>
      </c>
      <c r="U52" s="431">
        <f t="shared" si="17"/>
        <v>0</v>
      </c>
      <c r="V52" s="431">
        <f t="shared" si="17"/>
        <v>0</v>
      </c>
    </row>
    <row r="53" spans="1:22" s="423" customFormat="1" ht="18" customHeight="1">
      <c r="A53" s="437"/>
      <c r="B53" s="437"/>
      <c r="C53" s="437"/>
      <c r="D53" s="438">
        <v>4</v>
      </c>
      <c r="E53" s="438">
        <v>3</v>
      </c>
      <c r="F53" s="438">
        <v>2</v>
      </c>
      <c r="G53" s="439" t="s">
        <v>960</v>
      </c>
      <c r="H53" s="438" t="s">
        <v>999</v>
      </c>
      <c r="I53" s="437"/>
      <c r="J53" s="440">
        <f t="shared" si="4"/>
        <v>0</v>
      </c>
      <c r="K53" s="527"/>
      <c r="L53" s="441"/>
      <c r="M53" s="442"/>
      <c r="N53" s="442"/>
      <c r="O53" s="442"/>
      <c r="P53" s="442"/>
      <c r="Q53" s="442"/>
      <c r="R53" s="442"/>
      <c r="S53" s="442"/>
      <c r="T53" s="442"/>
      <c r="U53" s="442"/>
      <c r="V53" s="442"/>
    </row>
    <row r="54" spans="1:22" s="436" customFormat="1" ht="18" customHeight="1">
      <c r="A54" s="433"/>
      <c r="B54" s="433"/>
      <c r="C54" s="433"/>
      <c r="D54" s="429">
        <v>4</v>
      </c>
      <c r="E54" s="434">
        <v>3</v>
      </c>
      <c r="F54" s="434">
        <v>3</v>
      </c>
      <c r="G54" s="435"/>
      <c r="H54" s="434" t="s">
        <v>1000</v>
      </c>
      <c r="I54" s="428"/>
      <c r="J54" s="431">
        <f>SUM(J55)</f>
        <v>0</v>
      </c>
      <c r="K54" s="432"/>
      <c r="L54" s="432">
        <f t="shared" ref="L54:V54" si="18">SUM(L55)</f>
        <v>0</v>
      </c>
      <c r="M54" s="431">
        <f>SUM(M55)</f>
        <v>0</v>
      </c>
      <c r="N54" s="431">
        <f t="shared" si="18"/>
        <v>0</v>
      </c>
      <c r="O54" s="431">
        <f t="shared" si="18"/>
        <v>0</v>
      </c>
      <c r="P54" s="431">
        <f t="shared" si="18"/>
        <v>0</v>
      </c>
      <c r="Q54" s="431">
        <f t="shared" si="18"/>
        <v>0</v>
      </c>
      <c r="R54" s="431">
        <f t="shared" si="18"/>
        <v>0</v>
      </c>
      <c r="S54" s="431">
        <f t="shared" si="18"/>
        <v>0</v>
      </c>
      <c r="T54" s="431">
        <f t="shared" si="18"/>
        <v>0</v>
      </c>
      <c r="U54" s="431">
        <f t="shared" si="18"/>
        <v>0</v>
      </c>
      <c r="V54" s="431">
        <f t="shared" si="18"/>
        <v>0</v>
      </c>
    </row>
    <row r="55" spans="1:22" s="423" customFormat="1" ht="22.5" customHeight="1">
      <c r="A55" s="437"/>
      <c r="B55" s="437"/>
      <c r="C55" s="437"/>
      <c r="D55" s="438">
        <v>4</v>
      </c>
      <c r="E55" s="438">
        <v>3</v>
      </c>
      <c r="F55" s="438">
        <v>3</v>
      </c>
      <c r="G55" s="439" t="s">
        <v>960</v>
      </c>
      <c r="H55" s="438" t="s">
        <v>1000</v>
      </c>
      <c r="I55" s="437"/>
      <c r="J55" s="440">
        <f t="shared" si="4"/>
        <v>0</v>
      </c>
      <c r="K55" s="527"/>
      <c r="L55" s="441"/>
      <c r="M55" s="442"/>
      <c r="N55" s="442"/>
      <c r="O55" s="442"/>
      <c r="P55" s="442"/>
      <c r="Q55" s="442"/>
      <c r="R55" s="442"/>
      <c r="S55" s="442"/>
      <c r="T55" s="442"/>
      <c r="U55" s="442"/>
      <c r="V55" s="442"/>
    </row>
    <row r="56" spans="1:22" s="436" customFormat="1" ht="18" customHeight="1">
      <c r="A56" s="433"/>
      <c r="B56" s="433"/>
      <c r="C56" s="433"/>
      <c r="D56" s="429">
        <v>4</v>
      </c>
      <c r="E56" s="434">
        <v>3</v>
      </c>
      <c r="F56" s="434">
        <v>4</v>
      </c>
      <c r="G56" s="435"/>
      <c r="H56" s="434" t="s">
        <v>1001</v>
      </c>
      <c r="I56" s="428"/>
      <c r="J56" s="431">
        <f>SUM(J57)</f>
        <v>0</v>
      </c>
      <c r="K56" s="432"/>
      <c r="L56" s="432">
        <f t="shared" ref="L56:V56" si="19">SUM(L57)</f>
        <v>0</v>
      </c>
      <c r="M56" s="431">
        <f t="shared" si="19"/>
        <v>0</v>
      </c>
      <c r="N56" s="431">
        <f t="shared" si="19"/>
        <v>0</v>
      </c>
      <c r="O56" s="431">
        <f t="shared" si="19"/>
        <v>0</v>
      </c>
      <c r="P56" s="431">
        <f t="shared" si="19"/>
        <v>0</v>
      </c>
      <c r="Q56" s="431">
        <f t="shared" si="19"/>
        <v>0</v>
      </c>
      <c r="R56" s="431">
        <f t="shared" si="19"/>
        <v>0</v>
      </c>
      <c r="S56" s="431">
        <f t="shared" si="19"/>
        <v>0</v>
      </c>
      <c r="T56" s="431">
        <f t="shared" si="19"/>
        <v>0</v>
      </c>
      <c r="U56" s="431">
        <f t="shared" si="19"/>
        <v>0</v>
      </c>
      <c r="V56" s="431">
        <f t="shared" si="19"/>
        <v>0</v>
      </c>
    </row>
    <row r="57" spans="1:22" s="423" customFormat="1" ht="18" customHeight="1">
      <c r="A57" s="437"/>
      <c r="B57" s="437"/>
      <c r="C57" s="437"/>
      <c r="D57" s="438">
        <v>4</v>
      </c>
      <c r="E57" s="438">
        <v>3</v>
      </c>
      <c r="F57" s="438">
        <v>4</v>
      </c>
      <c r="G57" s="439" t="s">
        <v>960</v>
      </c>
      <c r="H57" s="438" t="s">
        <v>1001</v>
      </c>
      <c r="I57" s="437"/>
      <c r="J57" s="440">
        <f t="shared" si="4"/>
        <v>0</v>
      </c>
      <c r="K57" s="527"/>
      <c r="L57" s="441"/>
      <c r="M57" s="442"/>
      <c r="N57" s="442"/>
      <c r="O57" s="442"/>
      <c r="P57" s="442"/>
      <c r="Q57" s="442"/>
      <c r="R57" s="442"/>
      <c r="S57" s="442"/>
      <c r="T57" s="442"/>
      <c r="U57" s="442"/>
      <c r="V57" s="442"/>
    </row>
    <row r="58" spans="1:22" s="436" customFormat="1" ht="18" customHeight="1">
      <c r="A58" s="433"/>
      <c r="B58" s="433"/>
      <c r="C58" s="433"/>
      <c r="D58" s="429">
        <v>4</v>
      </c>
      <c r="E58" s="434">
        <v>3</v>
      </c>
      <c r="F58" s="434">
        <v>5</v>
      </c>
      <c r="G58" s="435"/>
      <c r="H58" s="434" t="s">
        <v>1002</v>
      </c>
      <c r="I58" s="428"/>
      <c r="J58" s="431">
        <f>SUM(J59)</f>
        <v>0</v>
      </c>
      <c r="K58" s="432"/>
      <c r="L58" s="432">
        <f t="shared" ref="L58:V58" si="20">SUM(L59)</f>
        <v>0</v>
      </c>
      <c r="M58" s="431">
        <f t="shared" si="20"/>
        <v>0</v>
      </c>
      <c r="N58" s="431">
        <f t="shared" si="20"/>
        <v>0</v>
      </c>
      <c r="O58" s="431">
        <f t="shared" si="20"/>
        <v>0</v>
      </c>
      <c r="P58" s="431">
        <f t="shared" si="20"/>
        <v>0</v>
      </c>
      <c r="Q58" s="431">
        <f t="shared" si="20"/>
        <v>0</v>
      </c>
      <c r="R58" s="431">
        <f t="shared" si="20"/>
        <v>0</v>
      </c>
      <c r="S58" s="431">
        <f t="shared" si="20"/>
        <v>0</v>
      </c>
      <c r="T58" s="431">
        <f t="shared" si="20"/>
        <v>0</v>
      </c>
      <c r="U58" s="431">
        <f t="shared" si="20"/>
        <v>0</v>
      </c>
      <c r="V58" s="431">
        <f t="shared" si="20"/>
        <v>0</v>
      </c>
    </row>
    <row r="59" spans="1:22" s="423" customFormat="1" ht="18" customHeight="1">
      <c r="A59" s="437"/>
      <c r="B59" s="437"/>
      <c r="C59" s="437"/>
      <c r="D59" s="438">
        <v>4</v>
      </c>
      <c r="E59" s="438">
        <v>3</v>
      </c>
      <c r="F59" s="438">
        <v>5</v>
      </c>
      <c r="G59" s="439" t="s">
        <v>960</v>
      </c>
      <c r="H59" s="438" t="s">
        <v>1002</v>
      </c>
      <c r="I59" s="437"/>
      <c r="J59" s="440">
        <f t="shared" si="4"/>
        <v>0</v>
      </c>
      <c r="K59" s="527"/>
      <c r="L59" s="441"/>
      <c r="M59" s="442"/>
      <c r="N59" s="442"/>
      <c r="O59" s="442"/>
      <c r="P59" s="442"/>
      <c r="Q59" s="442"/>
      <c r="R59" s="442"/>
      <c r="S59" s="442"/>
      <c r="T59" s="442"/>
      <c r="U59" s="442"/>
      <c r="V59" s="442"/>
    </row>
    <row r="60" spans="1:22" s="436" customFormat="1" ht="18" customHeight="1">
      <c r="A60" s="433"/>
      <c r="B60" s="433"/>
      <c r="C60" s="433"/>
      <c r="D60" s="429">
        <v>4</v>
      </c>
      <c r="E60" s="434">
        <v>3</v>
      </c>
      <c r="F60" s="434">
        <v>6</v>
      </c>
      <c r="G60" s="435"/>
      <c r="H60" s="434" t="s">
        <v>1003</v>
      </c>
      <c r="I60" s="428"/>
      <c r="J60" s="431">
        <f>SUM(J61)</f>
        <v>1500000</v>
      </c>
      <c r="K60" s="432"/>
      <c r="L60" s="432">
        <f t="shared" ref="L60:V60" si="21">SUM(L61)</f>
        <v>0</v>
      </c>
      <c r="M60" s="431">
        <f t="shared" si="21"/>
        <v>0</v>
      </c>
      <c r="N60" s="431">
        <f t="shared" si="21"/>
        <v>0</v>
      </c>
      <c r="O60" s="431">
        <f t="shared" si="21"/>
        <v>0</v>
      </c>
      <c r="P60" s="431">
        <f t="shared" si="21"/>
        <v>0</v>
      </c>
      <c r="Q60" s="431">
        <f t="shared" si="21"/>
        <v>1500000</v>
      </c>
      <c r="R60" s="431">
        <f t="shared" si="21"/>
        <v>0</v>
      </c>
      <c r="S60" s="431">
        <f t="shared" si="21"/>
        <v>0</v>
      </c>
      <c r="T60" s="431">
        <f t="shared" si="21"/>
        <v>0</v>
      </c>
      <c r="U60" s="431">
        <f t="shared" si="21"/>
        <v>0</v>
      </c>
      <c r="V60" s="431">
        <f t="shared" si="21"/>
        <v>0</v>
      </c>
    </row>
    <row r="61" spans="1:22" s="423" customFormat="1" ht="22.5" customHeight="1">
      <c r="A61" s="437"/>
      <c r="B61" s="437"/>
      <c r="C61" s="437"/>
      <c r="D61" s="438">
        <v>4</v>
      </c>
      <c r="E61" s="438">
        <v>3</v>
      </c>
      <c r="F61" s="438">
        <v>6</v>
      </c>
      <c r="G61" s="439" t="s">
        <v>960</v>
      </c>
      <c r="H61" s="438" t="s">
        <v>1003</v>
      </c>
      <c r="I61" s="437"/>
      <c r="J61" s="440">
        <f t="shared" si="4"/>
        <v>1500000</v>
      </c>
      <c r="K61" s="527"/>
      <c r="L61" s="441"/>
      <c r="M61" s="442"/>
      <c r="N61" s="442"/>
      <c r="O61" s="442"/>
      <c r="P61" s="442"/>
      <c r="Q61" s="442">
        <v>1500000</v>
      </c>
      <c r="R61" s="442"/>
      <c r="S61" s="442"/>
      <c r="T61" s="442"/>
      <c r="U61" s="442"/>
      <c r="V61" s="442"/>
    </row>
    <row r="62" spans="1:22" s="436" customFormat="1" ht="19.5" customHeight="1">
      <c r="A62" s="433"/>
      <c r="B62" s="433"/>
      <c r="C62" s="433"/>
      <c r="D62" s="429">
        <v>4</v>
      </c>
      <c r="E62" s="434">
        <v>3</v>
      </c>
      <c r="F62" s="434">
        <v>9</v>
      </c>
      <c r="G62" s="435"/>
      <c r="H62" s="434" t="s">
        <v>1004</v>
      </c>
      <c r="I62" s="428"/>
      <c r="J62" s="431">
        <f>SUM(J63)</f>
        <v>0</v>
      </c>
      <c r="K62" s="432"/>
      <c r="L62" s="432">
        <f t="shared" ref="L62:V62" si="22">SUM(L63)</f>
        <v>0</v>
      </c>
      <c r="M62" s="431">
        <f t="shared" si="22"/>
        <v>0</v>
      </c>
      <c r="N62" s="431">
        <f t="shared" si="22"/>
        <v>0</v>
      </c>
      <c r="O62" s="431">
        <f t="shared" si="22"/>
        <v>0</v>
      </c>
      <c r="P62" s="431">
        <f t="shared" si="22"/>
        <v>0</v>
      </c>
      <c r="Q62" s="431">
        <f t="shared" si="22"/>
        <v>0</v>
      </c>
      <c r="R62" s="431">
        <f t="shared" si="22"/>
        <v>0</v>
      </c>
      <c r="S62" s="431">
        <f t="shared" si="22"/>
        <v>0</v>
      </c>
      <c r="T62" s="431">
        <f t="shared" si="22"/>
        <v>0</v>
      </c>
      <c r="U62" s="431">
        <f t="shared" si="22"/>
        <v>0</v>
      </c>
      <c r="V62" s="431">
        <f t="shared" si="22"/>
        <v>0</v>
      </c>
    </row>
    <row r="63" spans="1:22" s="423" customFormat="1" ht="22.5" customHeight="1">
      <c r="A63" s="437"/>
      <c r="B63" s="437"/>
      <c r="C63" s="437"/>
      <c r="D63" s="438">
        <v>4</v>
      </c>
      <c r="E63" s="438">
        <v>3</v>
      </c>
      <c r="F63" s="438">
        <v>9</v>
      </c>
      <c r="G63" s="443" t="s">
        <v>962</v>
      </c>
      <c r="H63" s="438" t="s">
        <v>1004</v>
      </c>
      <c r="I63" s="437"/>
      <c r="J63" s="440">
        <f t="shared" si="4"/>
        <v>0</v>
      </c>
      <c r="K63" s="527"/>
      <c r="L63" s="441"/>
      <c r="M63" s="442"/>
      <c r="N63" s="442"/>
      <c r="O63" s="442"/>
      <c r="P63" s="442"/>
      <c r="Q63" s="442"/>
      <c r="R63" s="442"/>
      <c r="S63" s="442"/>
      <c r="T63" s="442"/>
      <c r="U63" s="442"/>
      <c r="V63" s="442"/>
    </row>
    <row r="64" spans="1:22" s="420" customFormat="1" ht="21" customHeight="1">
      <c r="A64" s="444"/>
      <c r="B64" s="444"/>
      <c r="C64" s="444"/>
      <c r="D64" s="445"/>
      <c r="E64" s="445"/>
      <c r="F64" s="445"/>
      <c r="G64" s="446"/>
      <c r="H64" s="445" t="s">
        <v>1005</v>
      </c>
      <c r="I64" s="444"/>
      <c r="J64" s="447">
        <f>J12</f>
        <v>2500926700</v>
      </c>
      <c r="K64" s="448"/>
      <c r="L64" s="448">
        <f t="shared" ref="L64:U64" si="23">L12</f>
        <v>0</v>
      </c>
      <c r="M64" s="447">
        <f t="shared" si="23"/>
        <v>8000000</v>
      </c>
      <c r="N64" s="447">
        <f t="shared" si="23"/>
        <v>3600000</v>
      </c>
      <c r="O64" s="447">
        <f t="shared" si="23"/>
        <v>0</v>
      </c>
      <c r="P64" s="447">
        <f t="shared" si="23"/>
        <v>2250000</v>
      </c>
      <c r="Q64" s="447">
        <f t="shared" si="23"/>
        <v>1500000</v>
      </c>
      <c r="R64" s="447">
        <f t="shared" si="23"/>
        <v>1198676000</v>
      </c>
      <c r="S64" s="447">
        <f t="shared" si="23"/>
        <v>867093200</v>
      </c>
      <c r="T64" s="447">
        <f t="shared" si="23"/>
        <v>69807500</v>
      </c>
      <c r="U64" s="447">
        <f t="shared" si="23"/>
        <v>350000000</v>
      </c>
      <c r="V64" s="447">
        <f>V12</f>
        <v>0</v>
      </c>
    </row>
    <row r="65" spans="1:23" s="423" customFormat="1" ht="18">
      <c r="A65" s="437"/>
      <c r="B65" s="437"/>
      <c r="C65" s="437"/>
      <c r="D65" s="437"/>
      <c r="E65" s="437"/>
      <c r="F65" s="437"/>
      <c r="G65" s="443"/>
      <c r="H65" s="438"/>
      <c r="I65" s="437"/>
      <c r="J65" s="440"/>
      <c r="K65" s="527"/>
      <c r="L65" s="441"/>
      <c r="M65" s="442"/>
      <c r="N65" s="442"/>
      <c r="O65" s="442"/>
      <c r="P65" s="442"/>
      <c r="Q65" s="442"/>
      <c r="R65" s="442"/>
      <c r="S65" s="442"/>
      <c r="T65" s="442"/>
      <c r="U65" s="442"/>
      <c r="V65" s="442"/>
    </row>
    <row r="66" spans="1:23" s="420" customFormat="1" ht="18.75" customHeight="1">
      <c r="A66" s="428"/>
      <c r="B66" s="428"/>
      <c r="C66" s="428"/>
      <c r="D66" s="428">
        <v>5</v>
      </c>
      <c r="E66" s="428"/>
      <c r="F66" s="428"/>
      <c r="G66" s="430"/>
      <c r="H66" s="429" t="s">
        <v>1027</v>
      </c>
      <c r="I66" s="428"/>
      <c r="J66" s="431">
        <f t="shared" ref="J66:W66" si="24">J67+J109+J142+J165+J189</f>
        <v>2529326700</v>
      </c>
      <c r="K66" s="432"/>
      <c r="L66" s="431" t="e">
        <f t="shared" si="24"/>
        <v>#VALUE!</v>
      </c>
      <c r="M66" s="449">
        <f t="shared" si="24"/>
        <v>8000000</v>
      </c>
      <c r="N66" s="449">
        <f t="shared" si="24"/>
        <v>3600000</v>
      </c>
      <c r="O66" s="431">
        <f t="shared" si="24"/>
        <v>0</v>
      </c>
      <c r="P66" s="431">
        <f t="shared" si="24"/>
        <v>2250000</v>
      </c>
      <c r="Q66" s="449">
        <f t="shared" si="24"/>
        <v>1500000</v>
      </c>
      <c r="R66" s="431">
        <f t="shared" si="24"/>
        <v>1198676000</v>
      </c>
      <c r="S66" s="431">
        <f t="shared" si="24"/>
        <v>867093200</v>
      </c>
      <c r="T66" s="431">
        <f t="shared" si="24"/>
        <v>69807500</v>
      </c>
      <c r="U66" s="431">
        <f t="shared" si="24"/>
        <v>350000000</v>
      </c>
      <c r="V66" s="431">
        <f t="shared" si="24"/>
        <v>28400000</v>
      </c>
      <c r="W66" s="431">
        <f t="shared" si="24"/>
        <v>0</v>
      </c>
    </row>
    <row r="67" spans="1:23" s="420" customFormat="1" ht="18">
      <c r="A67" s="450"/>
      <c r="B67" s="450"/>
      <c r="C67" s="450"/>
      <c r="D67" s="451"/>
      <c r="E67" s="451">
        <v>1</v>
      </c>
      <c r="F67" s="451"/>
      <c r="G67" s="451"/>
      <c r="H67" s="452" t="s">
        <v>6</v>
      </c>
      <c r="I67" s="451"/>
      <c r="J67" s="453">
        <f>SUM(J68+J77+J86+J91+J104)</f>
        <v>945053480</v>
      </c>
      <c r="K67" s="538"/>
      <c r="L67" s="454" t="s">
        <v>9</v>
      </c>
      <c r="M67" s="453">
        <f t="shared" ref="M67:V67" si="25">SUM(M68+M77+M86+M91+M104)</f>
        <v>8000000</v>
      </c>
      <c r="N67" s="453">
        <f t="shared" si="25"/>
        <v>3600000</v>
      </c>
      <c r="O67" s="453">
        <f t="shared" si="25"/>
        <v>0</v>
      </c>
      <c r="P67" s="453">
        <f t="shared" si="25"/>
        <v>0</v>
      </c>
      <c r="Q67" s="453">
        <f t="shared" si="25"/>
        <v>0</v>
      </c>
      <c r="R67" s="453">
        <f t="shared" si="25"/>
        <v>41960280</v>
      </c>
      <c r="S67" s="453">
        <f t="shared" si="25"/>
        <v>865093200</v>
      </c>
      <c r="T67" s="453">
        <f t="shared" si="25"/>
        <v>20000000</v>
      </c>
      <c r="U67" s="453">
        <f t="shared" si="25"/>
        <v>0</v>
      </c>
      <c r="V67" s="455">
        <f t="shared" si="25"/>
        <v>6400000</v>
      </c>
    </row>
    <row r="68" spans="1:23" s="436" customFormat="1" ht="56.25" customHeight="1">
      <c r="A68" s="456"/>
      <c r="B68" s="456"/>
      <c r="C68" s="456"/>
      <c r="D68" s="457"/>
      <c r="E68" s="457">
        <v>1</v>
      </c>
      <c r="F68" s="458">
        <v>1</v>
      </c>
      <c r="G68" s="457"/>
      <c r="H68" s="459" t="s">
        <v>1028</v>
      </c>
      <c r="I68" s="444"/>
      <c r="J68" s="460">
        <f>SUM(J69:J76)</f>
        <v>821476252</v>
      </c>
      <c r="K68" s="448"/>
      <c r="L68" s="461">
        <f t="shared" ref="L68:V68" si="26">SUM(L69:L76)</f>
        <v>0</v>
      </c>
      <c r="M68" s="460">
        <f t="shared" si="26"/>
        <v>0</v>
      </c>
      <c r="N68" s="460">
        <f t="shared" si="26"/>
        <v>0</v>
      </c>
      <c r="O68" s="460">
        <f t="shared" si="26"/>
        <v>0</v>
      </c>
      <c r="P68" s="460">
        <f t="shared" si="26"/>
        <v>0</v>
      </c>
      <c r="Q68" s="460">
        <f t="shared" si="26"/>
        <v>0</v>
      </c>
      <c r="R68" s="460">
        <f t="shared" si="26"/>
        <v>35960280</v>
      </c>
      <c r="S68" s="460">
        <f t="shared" si="26"/>
        <v>785515972</v>
      </c>
      <c r="T68" s="460">
        <f t="shared" si="26"/>
        <v>0</v>
      </c>
      <c r="U68" s="460">
        <f t="shared" si="26"/>
        <v>0</v>
      </c>
      <c r="V68" s="460">
        <f t="shared" si="26"/>
        <v>0</v>
      </c>
    </row>
    <row r="69" spans="1:23" s="468" customFormat="1" ht="25.5" customHeight="1">
      <c r="A69" s="462"/>
      <c r="B69" s="462"/>
      <c r="C69" s="462"/>
      <c r="D69" s="463"/>
      <c r="E69" s="463">
        <v>1</v>
      </c>
      <c r="F69" s="464">
        <v>1</v>
      </c>
      <c r="G69" s="464" t="s">
        <v>960</v>
      </c>
      <c r="H69" s="465" t="s">
        <v>7</v>
      </c>
      <c r="I69" s="437" t="s">
        <v>910</v>
      </c>
      <c r="J69" s="466">
        <f>SUM(L69:V69)</f>
        <v>37500000</v>
      </c>
      <c r="K69" s="527" t="s">
        <v>1122</v>
      </c>
      <c r="L69" s="467" t="s">
        <v>9</v>
      </c>
      <c r="M69" s="466">
        <v>0</v>
      </c>
      <c r="N69" s="466">
        <v>0</v>
      </c>
      <c r="O69" s="466">
        <v>0</v>
      </c>
      <c r="P69" s="466">
        <v>0</v>
      </c>
      <c r="Q69" s="466">
        <v>0</v>
      </c>
      <c r="R69" s="466">
        <v>0</v>
      </c>
      <c r="S69" s="466">
        <f>(3000000*12)+1500000</f>
        <v>37500000</v>
      </c>
      <c r="T69" s="466">
        <v>0</v>
      </c>
      <c r="U69" s="466">
        <v>0</v>
      </c>
      <c r="V69" s="466">
        <v>0</v>
      </c>
    </row>
    <row r="70" spans="1:23" s="475" customFormat="1" ht="33" customHeight="1">
      <c r="A70" s="469"/>
      <c r="B70" s="469"/>
      <c r="C70" s="469"/>
      <c r="D70" s="470"/>
      <c r="E70" s="470">
        <v>1</v>
      </c>
      <c r="F70" s="471">
        <v>1</v>
      </c>
      <c r="G70" s="471" t="s">
        <v>966</v>
      </c>
      <c r="H70" s="472" t="s">
        <v>10</v>
      </c>
      <c r="I70" s="437" t="s">
        <v>910</v>
      </c>
      <c r="J70" s="473">
        <f t="shared" ref="J70:J76" si="27">SUM(L70:V70)</f>
        <v>628230000</v>
      </c>
      <c r="K70" s="527" t="s">
        <v>1122</v>
      </c>
      <c r="L70" s="474" t="s">
        <v>9</v>
      </c>
      <c r="M70" s="473">
        <v>0</v>
      </c>
      <c r="N70" s="473">
        <v>0</v>
      </c>
      <c r="O70" s="473">
        <v>0</v>
      </c>
      <c r="P70" s="473">
        <v>0</v>
      </c>
      <c r="Q70" s="473">
        <v>0</v>
      </c>
      <c r="R70" s="473">
        <v>0</v>
      </c>
      <c r="S70" s="473">
        <f>(2400000*12)+(2160000*6*12)+(2022500*13*12)+(1705000*5*12)+26100000</f>
        <v>628230000</v>
      </c>
      <c r="T70" s="473">
        <v>0</v>
      </c>
      <c r="U70" s="473">
        <v>0</v>
      </c>
      <c r="V70" s="473">
        <v>0</v>
      </c>
    </row>
    <row r="71" spans="1:23" s="468" customFormat="1" ht="37.5" customHeight="1">
      <c r="A71" s="462"/>
      <c r="B71" s="462"/>
      <c r="C71" s="462"/>
      <c r="D71" s="463"/>
      <c r="E71" s="463">
        <v>1</v>
      </c>
      <c r="F71" s="464">
        <v>1</v>
      </c>
      <c r="G71" s="464" t="s">
        <v>968</v>
      </c>
      <c r="H71" s="465" t="s">
        <v>11</v>
      </c>
      <c r="I71" s="437" t="s">
        <v>910</v>
      </c>
      <c r="J71" s="466">
        <f t="shared" si="27"/>
        <v>51060972</v>
      </c>
      <c r="K71" s="527" t="s">
        <v>1122</v>
      </c>
      <c r="L71" s="467" t="s">
        <v>9</v>
      </c>
      <c r="M71" s="466">
        <v>0</v>
      </c>
      <c r="N71" s="466">
        <v>0</v>
      </c>
      <c r="O71" s="466">
        <v>0</v>
      </c>
      <c r="P71" s="466">
        <v>0</v>
      </c>
      <c r="Q71" s="466">
        <v>0</v>
      </c>
      <c r="R71" s="466">
        <v>0</v>
      </c>
      <c r="S71" s="466">
        <v>51060972</v>
      </c>
      <c r="T71" s="466">
        <v>0</v>
      </c>
      <c r="U71" s="466">
        <v>0</v>
      </c>
      <c r="V71" s="466">
        <v>0</v>
      </c>
    </row>
    <row r="72" spans="1:23" s="468" customFormat="1" ht="55.5" customHeight="1">
      <c r="A72" s="462"/>
      <c r="B72" s="462"/>
      <c r="C72" s="462"/>
      <c r="D72" s="463"/>
      <c r="E72" s="463">
        <v>1</v>
      </c>
      <c r="F72" s="464">
        <v>1</v>
      </c>
      <c r="G72" s="464" t="s">
        <v>970</v>
      </c>
      <c r="H72" s="465" t="s">
        <v>12</v>
      </c>
      <c r="I72" s="437" t="s">
        <v>910</v>
      </c>
      <c r="J72" s="466">
        <f>SUM(L72:V72)</f>
        <v>35960280</v>
      </c>
      <c r="K72" s="527" t="s">
        <v>1122</v>
      </c>
      <c r="L72" s="467" t="s">
        <v>914</v>
      </c>
      <c r="M72" s="466">
        <v>0</v>
      </c>
      <c r="N72" s="466">
        <v>0</v>
      </c>
      <c r="O72" s="466">
        <v>0</v>
      </c>
      <c r="P72" s="466"/>
      <c r="Q72" s="466">
        <v>0</v>
      </c>
      <c r="R72" s="466">
        <f>3/100*1198676000</f>
        <v>35960280</v>
      </c>
      <c r="S72" s="473"/>
      <c r="T72" s="466">
        <v>0</v>
      </c>
      <c r="U72" s="466">
        <v>0</v>
      </c>
      <c r="V72" s="466"/>
    </row>
    <row r="73" spans="1:23" s="468" customFormat="1" ht="27" customHeight="1">
      <c r="A73" s="462"/>
      <c r="B73" s="462"/>
      <c r="C73" s="462"/>
      <c r="D73" s="463"/>
      <c r="E73" s="463">
        <v>1</v>
      </c>
      <c r="F73" s="464">
        <v>1</v>
      </c>
      <c r="G73" s="464" t="s">
        <v>972</v>
      </c>
      <c r="H73" s="465" t="s">
        <v>13</v>
      </c>
      <c r="I73" s="437" t="s">
        <v>910</v>
      </c>
      <c r="J73" s="466">
        <f t="shared" si="27"/>
        <v>40625000</v>
      </c>
      <c r="K73" s="527" t="s">
        <v>1122</v>
      </c>
      <c r="L73" s="467" t="s">
        <v>9</v>
      </c>
      <c r="M73" s="466">
        <v>0</v>
      </c>
      <c r="N73" s="466">
        <v>0</v>
      </c>
      <c r="O73" s="466">
        <v>0</v>
      </c>
      <c r="P73" s="466">
        <v>0</v>
      </c>
      <c r="Q73" s="466">
        <v>0</v>
      </c>
      <c r="R73" s="466">
        <v>0</v>
      </c>
      <c r="S73" s="466">
        <f>(12*500000)+(12*450000)+(12*400000)+(12*2*350000)+(12*4*300000)+1625000</f>
        <v>40625000</v>
      </c>
      <c r="T73" s="466">
        <v>0</v>
      </c>
      <c r="U73" s="466">
        <v>0</v>
      </c>
      <c r="V73" s="466">
        <v>0</v>
      </c>
    </row>
    <row r="74" spans="1:23" s="468" customFormat="1" ht="56.25" customHeight="1">
      <c r="A74" s="462"/>
      <c r="B74" s="462"/>
      <c r="C74" s="462"/>
      <c r="D74" s="437"/>
      <c r="E74" s="463">
        <v>1</v>
      </c>
      <c r="F74" s="464">
        <v>1</v>
      </c>
      <c r="G74" s="464" t="s">
        <v>974</v>
      </c>
      <c r="H74" s="465" t="s">
        <v>1029</v>
      </c>
      <c r="I74" s="437" t="s">
        <v>910</v>
      </c>
      <c r="J74" s="466">
        <f t="shared" si="27"/>
        <v>5000000</v>
      </c>
      <c r="K74" s="527" t="s">
        <v>1122</v>
      </c>
      <c r="L74" s="467" t="s">
        <v>9</v>
      </c>
      <c r="M74" s="466">
        <v>0</v>
      </c>
      <c r="N74" s="466">
        <v>0</v>
      </c>
      <c r="O74" s="466">
        <v>0</v>
      </c>
      <c r="P74" s="466">
        <v>0</v>
      </c>
      <c r="Q74" s="466">
        <v>0</v>
      </c>
      <c r="R74" s="466">
        <v>0</v>
      </c>
      <c r="S74" s="466">
        <v>5000000</v>
      </c>
      <c r="T74" s="466">
        <v>0</v>
      </c>
      <c r="U74" s="466">
        <v>0</v>
      </c>
      <c r="V74" s="466">
        <v>0</v>
      </c>
    </row>
    <row r="75" spans="1:23" s="468" customFormat="1" ht="27" customHeight="1">
      <c r="A75" s="462"/>
      <c r="B75" s="462"/>
      <c r="C75" s="462"/>
      <c r="D75" s="463"/>
      <c r="E75" s="463">
        <v>1</v>
      </c>
      <c r="F75" s="464">
        <v>1</v>
      </c>
      <c r="G75" s="464" t="s">
        <v>976</v>
      </c>
      <c r="H75" s="465" t="s">
        <v>14</v>
      </c>
      <c r="I75" s="437" t="s">
        <v>910</v>
      </c>
      <c r="J75" s="466">
        <f t="shared" si="27"/>
        <v>23100000</v>
      </c>
      <c r="K75" s="527" t="s">
        <v>1122</v>
      </c>
      <c r="L75" s="467" t="s">
        <v>9</v>
      </c>
      <c r="M75" s="466">
        <v>0</v>
      </c>
      <c r="N75" s="466">
        <v>0</v>
      </c>
      <c r="O75" s="466">
        <v>0</v>
      </c>
      <c r="P75" s="466">
        <v>0</v>
      </c>
      <c r="Q75" s="466">
        <v>0</v>
      </c>
      <c r="R75" s="466">
        <v>0</v>
      </c>
      <c r="S75" s="466">
        <f>(14*300000)+(63*300000)</f>
        <v>23100000</v>
      </c>
      <c r="T75" s="466">
        <v>0</v>
      </c>
      <c r="U75" s="466">
        <v>0</v>
      </c>
      <c r="V75" s="466">
        <v>0</v>
      </c>
    </row>
    <row r="76" spans="1:23" s="468" customFormat="1" ht="51" customHeight="1">
      <c r="A76" s="462"/>
      <c r="B76" s="462"/>
      <c r="C76" s="462"/>
      <c r="D76" s="463"/>
      <c r="E76" s="463">
        <v>1</v>
      </c>
      <c r="F76" s="464">
        <v>1</v>
      </c>
      <c r="G76" s="464" t="s">
        <v>1030</v>
      </c>
      <c r="H76" s="465" t="s">
        <v>1031</v>
      </c>
      <c r="I76" s="437"/>
      <c r="J76" s="466">
        <f t="shared" si="27"/>
        <v>0</v>
      </c>
      <c r="K76" s="527"/>
      <c r="L76" s="467" t="s">
        <v>9</v>
      </c>
      <c r="M76" s="466">
        <v>0</v>
      </c>
      <c r="N76" s="466">
        <v>0</v>
      </c>
      <c r="O76" s="466">
        <v>0</v>
      </c>
      <c r="P76" s="466">
        <v>0</v>
      </c>
      <c r="Q76" s="466">
        <v>0</v>
      </c>
      <c r="R76" s="466">
        <v>0</v>
      </c>
      <c r="S76" s="466">
        <v>0</v>
      </c>
      <c r="T76" s="466">
        <v>0</v>
      </c>
      <c r="U76" s="466">
        <v>0</v>
      </c>
      <c r="V76" s="466">
        <v>0</v>
      </c>
    </row>
    <row r="77" spans="1:23" s="436" customFormat="1" ht="24.75" customHeight="1">
      <c r="A77" s="456"/>
      <c r="B77" s="456"/>
      <c r="C77" s="456"/>
      <c r="D77" s="457"/>
      <c r="E77" s="457">
        <v>1</v>
      </c>
      <c r="F77" s="458">
        <v>2</v>
      </c>
      <c r="G77" s="458"/>
      <c r="H77" s="459" t="s">
        <v>1032</v>
      </c>
      <c r="I77" s="444"/>
      <c r="J77" s="460">
        <f>SUM(J78:J85)</f>
        <v>38900000</v>
      </c>
      <c r="K77" s="448"/>
      <c r="L77" s="476" t="s">
        <v>9</v>
      </c>
      <c r="M77" s="460">
        <f t="shared" ref="M77:V77" si="28">SUM(M78:M85)</f>
        <v>0</v>
      </c>
      <c r="N77" s="460">
        <f t="shared" si="28"/>
        <v>0</v>
      </c>
      <c r="O77" s="460">
        <f t="shared" si="28"/>
        <v>0</v>
      </c>
      <c r="P77" s="460">
        <f t="shared" si="28"/>
        <v>0</v>
      </c>
      <c r="Q77" s="460">
        <f t="shared" si="28"/>
        <v>0</v>
      </c>
      <c r="R77" s="460">
        <f t="shared" si="28"/>
        <v>0</v>
      </c>
      <c r="S77" s="460">
        <f t="shared" si="28"/>
        <v>28900000</v>
      </c>
      <c r="T77" s="460">
        <f t="shared" si="28"/>
        <v>10000000</v>
      </c>
      <c r="U77" s="460">
        <f t="shared" si="28"/>
        <v>0</v>
      </c>
      <c r="V77" s="477">
        <f t="shared" si="28"/>
        <v>0</v>
      </c>
    </row>
    <row r="78" spans="1:23" s="468" customFormat="1" ht="36.75" customHeight="1">
      <c r="A78" s="462"/>
      <c r="B78" s="462"/>
      <c r="C78" s="462"/>
      <c r="D78" s="463"/>
      <c r="E78" s="463">
        <v>1</v>
      </c>
      <c r="F78" s="464">
        <v>2</v>
      </c>
      <c r="G78" s="464" t="s">
        <v>966</v>
      </c>
      <c r="H78" s="465" t="s">
        <v>1033</v>
      </c>
      <c r="I78" s="437" t="s">
        <v>1116</v>
      </c>
      <c r="J78" s="466">
        <f t="shared" ref="J78:J85" si="29">SUM(L78:V78)</f>
        <v>4000000</v>
      </c>
      <c r="K78" s="527" t="s">
        <v>1122</v>
      </c>
      <c r="L78" s="467" t="s">
        <v>9</v>
      </c>
      <c r="M78" s="466"/>
      <c r="N78" s="466"/>
      <c r="O78" s="466"/>
      <c r="P78" s="466"/>
      <c r="Q78" s="466"/>
      <c r="R78" s="466"/>
      <c r="S78" s="466">
        <v>4000000</v>
      </c>
      <c r="T78" s="466"/>
      <c r="U78" s="466"/>
      <c r="V78" s="478"/>
    </row>
    <row r="79" spans="1:23" s="468" customFormat="1" ht="36.75" customHeight="1">
      <c r="A79" s="462"/>
      <c r="B79" s="462"/>
      <c r="C79" s="462"/>
      <c r="D79" s="463"/>
      <c r="E79" s="463">
        <v>1</v>
      </c>
      <c r="F79" s="464">
        <v>2</v>
      </c>
      <c r="G79" s="464" t="s">
        <v>968</v>
      </c>
      <c r="H79" s="465" t="s">
        <v>77</v>
      </c>
      <c r="I79" s="437" t="s">
        <v>1116</v>
      </c>
      <c r="J79" s="466">
        <f t="shared" si="29"/>
        <v>10000000</v>
      </c>
      <c r="K79" s="527" t="s">
        <v>1122</v>
      </c>
      <c r="L79" s="467" t="s">
        <v>31</v>
      </c>
      <c r="M79" s="466"/>
      <c r="N79" s="466"/>
      <c r="O79" s="466"/>
      <c r="P79" s="466"/>
      <c r="Q79" s="466"/>
      <c r="R79" s="466"/>
      <c r="S79" s="466"/>
      <c r="T79" s="466">
        <v>10000000</v>
      </c>
      <c r="U79" s="466"/>
      <c r="V79" s="478"/>
    </row>
    <row r="80" spans="1:23" s="468" customFormat="1" ht="27" customHeight="1">
      <c r="A80" s="462"/>
      <c r="B80" s="462"/>
      <c r="C80" s="462"/>
      <c r="D80" s="463"/>
      <c r="E80" s="463">
        <v>1</v>
      </c>
      <c r="F80" s="464">
        <v>2</v>
      </c>
      <c r="G80" s="464" t="s">
        <v>319</v>
      </c>
      <c r="H80" s="465" t="s">
        <v>1034</v>
      </c>
      <c r="I80" s="437" t="s">
        <v>1116</v>
      </c>
      <c r="J80" s="466">
        <f t="shared" si="29"/>
        <v>8000000</v>
      </c>
      <c r="K80" s="527" t="s">
        <v>1122</v>
      </c>
      <c r="L80" s="479" t="s">
        <v>9</v>
      </c>
      <c r="M80" s="466"/>
      <c r="N80" s="466"/>
      <c r="O80" s="466"/>
      <c r="P80" s="466"/>
      <c r="Q80" s="466"/>
      <c r="R80" s="466"/>
      <c r="S80" s="466">
        <v>8000000</v>
      </c>
      <c r="T80" s="466"/>
      <c r="U80" s="466"/>
      <c r="V80" s="466"/>
    </row>
    <row r="81" spans="1:22" s="475" customFormat="1" ht="27" customHeight="1">
      <c r="A81" s="469"/>
      <c r="B81" s="469"/>
      <c r="C81" s="469"/>
      <c r="D81" s="470"/>
      <c r="E81" s="470">
        <v>1</v>
      </c>
      <c r="F81" s="471">
        <v>2</v>
      </c>
      <c r="G81" s="471" t="s">
        <v>319</v>
      </c>
      <c r="H81" s="472" t="s">
        <v>1035</v>
      </c>
      <c r="I81" s="437" t="s">
        <v>1116</v>
      </c>
      <c r="J81" s="473">
        <f t="shared" si="29"/>
        <v>9000000</v>
      </c>
      <c r="K81" s="527" t="s">
        <v>1122</v>
      </c>
      <c r="L81" s="480" t="s">
        <v>9</v>
      </c>
      <c r="M81" s="473"/>
      <c r="N81" s="473"/>
      <c r="O81" s="473"/>
      <c r="P81" s="473"/>
      <c r="Q81" s="473"/>
      <c r="R81" s="473"/>
      <c r="S81" s="473">
        <f>1500000*6</f>
        <v>9000000</v>
      </c>
      <c r="T81" s="473"/>
      <c r="U81" s="473"/>
      <c r="V81" s="473"/>
    </row>
    <row r="82" spans="1:22" s="468" customFormat="1" ht="27" customHeight="1">
      <c r="A82" s="462"/>
      <c r="B82" s="462"/>
      <c r="C82" s="462"/>
      <c r="D82" s="463"/>
      <c r="E82" s="463">
        <v>1</v>
      </c>
      <c r="F82" s="464">
        <v>2</v>
      </c>
      <c r="G82" s="464" t="s">
        <v>1036</v>
      </c>
      <c r="H82" s="465" t="s">
        <v>80</v>
      </c>
      <c r="I82" s="437" t="s">
        <v>1116</v>
      </c>
      <c r="J82" s="466">
        <f t="shared" si="29"/>
        <v>4700000</v>
      </c>
      <c r="K82" s="527" t="s">
        <v>1122</v>
      </c>
      <c r="L82" s="479" t="s">
        <v>9</v>
      </c>
      <c r="M82" s="466"/>
      <c r="N82" s="466"/>
      <c r="O82" s="466"/>
      <c r="P82" s="466"/>
      <c r="Q82" s="466"/>
      <c r="R82" s="466"/>
      <c r="S82" s="466">
        <v>4700000</v>
      </c>
      <c r="T82" s="466"/>
      <c r="U82" s="466"/>
      <c r="V82" s="466"/>
    </row>
    <row r="83" spans="1:22" s="468" customFormat="1" ht="27" customHeight="1">
      <c r="A83" s="462"/>
      <c r="B83" s="462"/>
      <c r="C83" s="462"/>
      <c r="D83" s="463"/>
      <c r="E83" s="463">
        <v>1</v>
      </c>
      <c r="F83" s="464">
        <v>2</v>
      </c>
      <c r="G83" s="464" t="s">
        <v>1037</v>
      </c>
      <c r="H83" s="465" t="s">
        <v>81</v>
      </c>
      <c r="I83" s="437" t="s">
        <v>1116</v>
      </c>
      <c r="J83" s="466">
        <f t="shared" si="29"/>
        <v>1500000</v>
      </c>
      <c r="K83" s="527" t="s">
        <v>1122</v>
      </c>
      <c r="L83" s="467" t="s">
        <v>9</v>
      </c>
      <c r="M83" s="466"/>
      <c r="N83" s="466"/>
      <c r="O83" s="466"/>
      <c r="P83" s="466"/>
      <c r="Q83" s="466"/>
      <c r="R83" s="466"/>
      <c r="S83" s="466">
        <v>1500000</v>
      </c>
      <c r="T83" s="466"/>
      <c r="U83" s="466"/>
      <c r="V83" s="466"/>
    </row>
    <row r="84" spans="1:22" s="468" customFormat="1" ht="27" customHeight="1">
      <c r="A84" s="462"/>
      <c r="B84" s="462"/>
      <c r="C84" s="462"/>
      <c r="D84" s="463"/>
      <c r="E84" s="463">
        <v>1</v>
      </c>
      <c r="F84" s="464">
        <v>2</v>
      </c>
      <c r="G84" s="464" t="s">
        <v>1038</v>
      </c>
      <c r="H84" s="465" t="s">
        <v>82</v>
      </c>
      <c r="I84" s="437" t="s">
        <v>1116</v>
      </c>
      <c r="J84" s="466">
        <f t="shared" si="29"/>
        <v>1700000</v>
      </c>
      <c r="K84" s="527" t="s">
        <v>1122</v>
      </c>
      <c r="L84" s="467" t="s">
        <v>9</v>
      </c>
      <c r="M84" s="466"/>
      <c r="N84" s="466"/>
      <c r="O84" s="466"/>
      <c r="P84" s="466"/>
      <c r="Q84" s="466"/>
      <c r="R84" s="466"/>
      <c r="S84" s="466">
        <v>1700000</v>
      </c>
      <c r="T84" s="466"/>
      <c r="U84" s="466"/>
      <c r="V84" s="466"/>
    </row>
    <row r="85" spans="1:22" s="468" customFormat="1" ht="27" customHeight="1">
      <c r="A85" s="462"/>
      <c r="B85" s="462"/>
      <c r="C85" s="462"/>
      <c r="D85" s="463"/>
      <c r="E85" s="463">
        <v>1</v>
      </c>
      <c r="F85" s="464">
        <v>2</v>
      </c>
      <c r="G85" s="464" t="s">
        <v>1030</v>
      </c>
      <c r="H85" s="465" t="s">
        <v>1039</v>
      </c>
      <c r="I85" s="437"/>
      <c r="J85" s="466">
        <f t="shared" si="29"/>
        <v>0</v>
      </c>
      <c r="K85" s="527"/>
      <c r="L85" s="467">
        <v>0</v>
      </c>
      <c r="M85" s="466">
        <v>0</v>
      </c>
      <c r="N85" s="466">
        <v>0</v>
      </c>
      <c r="O85" s="466">
        <v>0</v>
      </c>
      <c r="P85" s="466">
        <v>0</v>
      </c>
      <c r="Q85" s="466">
        <v>0</v>
      </c>
      <c r="R85" s="466">
        <v>0</v>
      </c>
      <c r="S85" s="466">
        <v>0</v>
      </c>
      <c r="T85" s="466">
        <v>0</v>
      </c>
      <c r="U85" s="466">
        <v>0</v>
      </c>
      <c r="V85" s="466">
        <v>0</v>
      </c>
    </row>
    <row r="86" spans="1:22" s="436" customFormat="1" ht="40.5" customHeight="1">
      <c r="A86" s="456"/>
      <c r="B86" s="456"/>
      <c r="C86" s="456"/>
      <c r="D86" s="457"/>
      <c r="E86" s="457">
        <v>1</v>
      </c>
      <c r="F86" s="458">
        <v>3</v>
      </c>
      <c r="G86" s="458"/>
      <c r="H86" s="459" t="s">
        <v>1040</v>
      </c>
      <c r="I86" s="444"/>
      <c r="J86" s="460">
        <f>SUM(J87:J90)</f>
        <v>12360000</v>
      </c>
      <c r="K86" s="448"/>
      <c r="L86" s="461" t="s">
        <v>9</v>
      </c>
      <c r="M86" s="460">
        <f>SUM(M87:M90)</f>
        <v>0</v>
      </c>
      <c r="N86" s="460">
        <f t="shared" ref="N86:V86" si="30">SUM(N87:N90)</f>
        <v>0</v>
      </c>
      <c r="O86" s="460">
        <f t="shared" si="30"/>
        <v>0</v>
      </c>
      <c r="P86" s="460">
        <f t="shared" si="30"/>
        <v>0</v>
      </c>
      <c r="Q86" s="460">
        <f t="shared" si="30"/>
        <v>0</v>
      </c>
      <c r="R86" s="460">
        <f t="shared" si="30"/>
        <v>0</v>
      </c>
      <c r="S86" s="460">
        <f t="shared" si="30"/>
        <v>12360000</v>
      </c>
      <c r="T86" s="460">
        <f t="shared" si="30"/>
        <v>0</v>
      </c>
      <c r="U86" s="460">
        <f t="shared" si="30"/>
        <v>0</v>
      </c>
      <c r="V86" s="460">
        <f t="shared" si="30"/>
        <v>0</v>
      </c>
    </row>
    <row r="87" spans="1:22" s="468" customFormat="1" ht="39" customHeight="1">
      <c r="A87" s="462"/>
      <c r="B87" s="462"/>
      <c r="C87" s="462"/>
      <c r="D87" s="463"/>
      <c r="E87" s="463">
        <v>1</v>
      </c>
      <c r="F87" s="464">
        <v>3</v>
      </c>
      <c r="G87" s="464" t="s">
        <v>966</v>
      </c>
      <c r="H87" s="465" t="s">
        <v>86</v>
      </c>
      <c r="I87" s="437" t="s">
        <v>1116</v>
      </c>
      <c r="J87" s="466">
        <f>SUM(L87:V87)</f>
        <v>5000000</v>
      </c>
      <c r="K87" s="527" t="s">
        <v>1122</v>
      </c>
      <c r="L87" s="467" t="s">
        <v>9</v>
      </c>
      <c r="M87" s="466">
        <v>0</v>
      </c>
      <c r="N87" s="466">
        <v>0</v>
      </c>
      <c r="O87" s="466">
        <v>0</v>
      </c>
      <c r="P87" s="466">
        <v>0</v>
      </c>
      <c r="Q87" s="466">
        <v>0</v>
      </c>
      <c r="R87" s="466">
        <v>0</v>
      </c>
      <c r="S87" s="466">
        <v>5000000</v>
      </c>
      <c r="T87" s="466">
        <v>0</v>
      </c>
      <c r="U87" s="466">
        <v>0</v>
      </c>
      <c r="V87" s="466">
        <v>0</v>
      </c>
    </row>
    <row r="88" spans="1:22" s="468" customFormat="1" ht="39" customHeight="1">
      <c r="A88" s="462"/>
      <c r="B88" s="462"/>
      <c r="C88" s="462"/>
      <c r="D88" s="463"/>
      <c r="E88" s="463">
        <v>1</v>
      </c>
      <c r="F88" s="464">
        <v>3</v>
      </c>
      <c r="G88" s="464" t="s">
        <v>319</v>
      </c>
      <c r="H88" s="465" t="s">
        <v>1041</v>
      </c>
      <c r="I88" s="437" t="s">
        <v>1116</v>
      </c>
      <c r="J88" s="466">
        <f>SUM(L88:V88)</f>
        <v>3600000</v>
      </c>
      <c r="K88" s="527" t="s">
        <v>1122</v>
      </c>
      <c r="L88" s="467" t="s">
        <v>9</v>
      </c>
      <c r="M88" s="466">
        <v>0</v>
      </c>
      <c r="N88" s="466">
        <v>0</v>
      </c>
      <c r="O88" s="466">
        <v>0</v>
      </c>
      <c r="P88" s="466">
        <v>0</v>
      </c>
      <c r="Q88" s="466">
        <v>0</v>
      </c>
      <c r="R88" s="466">
        <v>0</v>
      </c>
      <c r="S88" s="466">
        <v>3600000</v>
      </c>
      <c r="T88" s="466">
        <v>0</v>
      </c>
      <c r="U88" s="466">
        <v>0</v>
      </c>
      <c r="V88" s="466">
        <v>0</v>
      </c>
    </row>
    <row r="89" spans="1:22" s="468" customFormat="1" ht="18.75">
      <c r="A89" s="462"/>
      <c r="B89" s="462"/>
      <c r="C89" s="462"/>
      <c r="D89" s="463"/>
      <c r="E89" s="481">
        <v>1</v>
      </c>
      <c r="F89" s="482">
        <v>3</v>
      </c>
      <c r="G89" s="464" t="s">
        <v>1042</v>
      </c>
      <c r="H89" s="483" t="s">
        <v>88</v>
      </c>
      <c r="I89" s="437" t="s">
        <v>1116</v>
      </c>
      <c r="J89" s="466">
        <f>SUM(L89:V89)</f>
        <v>3760000</v>
      </c>
      <c r="K89" s="527" t="s">
        <v>1122</v>
      </c>
      <c r="L89" s="467" t="s">
        <v>9</v>
      </c>
      <c r="M89" s="466">
        <v>0</v>
      </c>
      <c r="N89" s="466">
        <v>0</v>
      </c>
      <c r="O89" s="466">
        <v>0</v>
      </c>
      <c r="P89" s="466">
        <v>0</v>
      </c>
      <c r="Q89" s="466">
        <v>0</v>
      </c>
      <c r="R89" s="466">
        <v>0</v>
      </c>
      <c r="S89" s="466">
        <v>3760000</v>
      </c>
      <c r="T89" s="466">
        <v>0</v>
      </c>
      <c r="U89" s="466">
        <v>0</v>
      </c>
      <c r="V89" s="466">
        <v>0</v>
      </c>
    </row>
    <row r="90" spans="1:22" s="468" customFormat="1" ht="43.5" customHeight="1">
      <c r="A90" s="462"/>
      <c r="B90" s="462"/>
      <c r="C90" s="462"/>
      <c r="D90" s="463"/>
      <c r="E90" s="463">
        <v>1</v>
      </c>
      <c r="F90" s="464">
        <v>3</v>
      </c>
      <c r="G90" s="464" t="s">
        <v>1030</v>
      </c>
      <c r="H90" s="484" t="s">
        <v>1043</v>
      </c>
      <c r="I90" s="575"/>
      <c r="J90" s="466">
        <f>SUM(L90:V90)</f>
        <v>0</v>
      </c>
      <c r="K90" s="527"/>
      <c r="L90" s="467" t="s">
        <v>9</v>
      </c>
      <c r="M90" s="466">
        <v>0</v>
      </c>
      <c r="N90" s="466">
        <v>0</v>
      </c>
      <c r="O90" s="466">
        <v>0</v>
      </c>
      <c r="P90" s="466">
        <v>0</v>
      </c>
      <c r="Q90" s="466">
        <v>0</v>
      </c>
      <c r="R90" s="466">
        <v>0</v>
      </c>
      <c r="S90" s="466">
        <v>0</v>
      </c>
      <c r="T90" s="466">
        <v>0</v>
      </c>
      <c r="U90" s="466">
        <v>0</v>
      </c>
      <c r="V90" s="466">
        <v>0</v>
      </c>
    </row>
    <row r="91" spans="1:22" s="492" customFormat="1" ht="41.25" customHeight="1">
      <c r="A91" s="485"/>
      <c r="B91" s="485"/>
      <c r="C91" s="485"/>
      <c r="D91" s="486"/>
      <c r="E91" s="486">
        <v>1</v>
      </c>
      <c r="F91" s="487">
        <v>4</v>
      </c>
      <c r="G91" s="488"/>
      <c r="H91" s="489" t="s">
        <v>1044</v>
      </c>
      <c r="I91" s="568"/>
      <c r="J91" s="490">
        <f>SUM(J92:J103)</f>
        <v>51663000</v>
      </c>
      <c r="K91" s="491"/>
      <c r="L91" s="491" t="s">
        <v>9</v>
      </c>
      <c r="M91" s="490">
        <f t="shared" ref="M91:V91" si="31">SUM(M92:M103)</f>
        <v>0</v>
      </c>
      <c r="N91" s="490">
        <f t="shared" si="31"/>
        <v>0</v>
      </c>
      <c r="O91" s="490">
        <f t="shared" si="31"/>
        <v>0</v>
      </c>
      <c r="P91" s="490">
        <f t="shared" si="31"/>
        <v>0</v>
      </c>
      <c r="Q91" s="490">
        <f t="shared" si="31"/>
        <v>0</v>
      </c>
      <c r="R91" s="490">
        <f t="shared" si="31"/>
        <v>6000000</v>
      </c>
      <c r="S91" s="490">
        <f t="shared" si="31"/>
        <v>31663000</v>
      </c>
      <c r="T91" s="490">
        <f t="shared" si="31"/>
        <v>10000000</v>
      </c>
      <c r="U91" s="490">
        <f t="shared" si="31"/>
        <v>0</v>
      </c>
      <c r="V91" s="490">
        <f t="shared" si="31"/>
        <v>4000000</v>
      </c>
    </row>
    <row r="92" spans="1:22" s="468" customFormat="1" ht="42" customHeight="1">
      <c r="A92" s="462"/>
      <c r="B92" s="462"/>
      <c r="C92" s="462"/>
      <c r="D92" s="463"/>
      <c r="E92" s="493">
        <v>1</v>
      </c>
      <c r="F92" s="482">
        <v>4</v>
      </c>
      <c r="G92" s="493" t="s">
        <v>960</v>
      </c>
      <c r="H92" s="484" t="s">
        <v>1045</v>
      </c>
      <c r="I92" s="575" t="s">
        <v>910</v>
      </c>
      <c r="J92" s="466">
        <f>SUM(L92:V92)</f>
        <v>1750000</v>
      </c>
      <c r="K92" s="527" t="s">
        <v>1122</v>
      </c>
      <c r="L92" s="467" t="s">
        <v>9</v>
      </c>
      <c r="M92" s="466">
        <v>0</v>
      </c>
      <c r="N92" s="466">
        <v>0</v>
      </c>
      <c r="O92" s="466">
        <v>0</v>
      </c>
      <c r="P92" s="466">
        <v>0</v>
      </c>
      <c r="Q92" s="466">
        <v>0</v>
      </c>
      <c r="R92" s="466">
        <v>0</v>
      </c>
      <c r="S92" s="466">
        <f>200000+150000+(40*30000)+200000</f>
        <v>1750000</v>
      </c>
      <c r="T92" s="466">
        <v>0</v>
      </c>
      <c r="U92" s="466">
        <v>0</v>
      </c>
      <c r="V92" s="466">
        <v>0</v>
      </c>
    </row>
    <row r="93" spans="1:22" s="468" customFormat="1" ht="36.75" customHeight="1">
      <c r="A93" s="462"/>
      <c r="B93" s="462"/>
      <c r="C93" s="462"/>
      <c r="D93" s="437"/>
      <c r="E93" s="493">
        <v>1</v>
      </c>
      <c r="F93" s="482">
        <v>4</v>
      </c>
      <c r="G93" s="494" t="s">
        <v>968</v>
      </c>
      <c r="H93" s="484" t="s">
        <v>1046</v>
      </c>
      <c r="I93" s="575" t="s">
        <v>910</v>
      </c>
      <c r="J93" s="466">
        <f t="shared" ref="J93:J103" si="32">SUM(L93:V93)</f>
        <v>2980000</v>
      </c>
      <c r="K93" s="527" t="s">
        <v>1122</v>
      </c>
      <c r="L93" s="467" t="s">
        <v>9</v>
      </c>
      <c r="M93" s="466">
        <v>0</v>
      </c>
      <c r="N93" s="466">
        <v>0</v>
      </c>
      <c r="O93" s="466">
        <v>0</v>
      </c>
      <c r="P93" s="466">
        <v>0</v>
      </c>
      <c r="Q93" s="466">
        <v>0</v>
      </c>
      <c r="R93" s="466">
        <v>0</v>
      </c>
      <c r="S93" s="466">
        <v>2980000</v>
      </c>
      <c r="T93" s="466">
        <v>0</v>
      </c>
      <c r="U93" s="466">
        <v>0</v>
      </c>
      <c r="V93" s="466">
        <v>0</v>
      </c>
    </row>
    <row r="94" spans="1:22" s="468" customFormat="1" ht="41.25" customHeight="1">
      <c r="A94" s="462"/>
      <c r="B94" s="462"/>
      <c r="C94" s="462"/>
      <c r="D94" s="463"/>
      <c r="E94" s="493">
        <v>1</v>
      </c>
      <c r="F94" s="482">
        <v>4</v>
      </c>
      <c r="G94" s="494" t="s">
        <v>970</v>
      </c>
      <c r="H94" s="484" t="s">
        <v>1047</v>
      </c>
      <c r="I94" s="575" t="s">
        <v>910</v>
      </c>
      <c r="J94" s="466">
        <f t="shared" si="32"/>
        <v>3500000</v>
      </c>
      <c r="K94" s="527" t="s">
        <v>1122</v>
      </c>
      <c r="L94" s="467" t="s">
        <v>9</v>
      </c>
      <c r="M94" s="466">
        <v>0</v>
      </c>
      <c r="N94" s="466">
        <v>0</v>
      </c>
      <c r="O94" s="466">
        <v>0</v>
      </c>
      <c r="P94" s="466">
        <v>0</v>
      </c>
      <c r="Q94" s="466">
        <v>0</v>
      </c>
      <c r="R94" s="466">
        <v>0</v>
      </c>
      <c r="S94" s="466">
        <f>(200000+150000+(40*30000)+200000)*2</f>
        <v>3500000</v>
      </c>
      <c r="T94" s="466">
        <v>0</v>
      </c>
      <c r="U94" s="466">
        <v>0</v>
      </c>
      <c r="V94" s="466">
        <v>0</v>
      </c>
    </row>
    <row r="95" spans="1:22" s="468" customFormat="1" ht="28.5" customHeight="1">
      <c r="A95" s="462"/>
      <c r="B95" s="462"/>
      <c r="C95" s="462"/>
      <c r="D95" s="463"/>
      <c r="E95" s="493">
        <v>1</v>
      </c>
      <c r="F95" s="482">
        <v>4</v>
      </c>
      <c r="G95" s="494" t="s">
        <v>972</v>
      </c>
      <c r="H95" s="495" t="s">
        <v>1048</v>
      </c>
      <c r="I95" s="575" t="s">
        <v>910</v>
      </c>
      <c r="J95" s="466">
        <f t="shared" si="32"/>
        <v>4000000</v>
      </c>
      <c r="K95" s="527" t="s">
        <v>1122</v>
      </c>
      <c r="L95" s="467" t="s">
        <v>933</v>
      </c>
      <c r="M95" s="466">
        <v>0</v>
      </c>
      <c r="N95" s="466">
        <v>0</v>
      </c>
      <c r="O95" s="466">
        <v>0</v>
      </c>
      <c r="P95" s="466">
        <v>0</v>
      </c>
      <c r="Q95" s="466">
        <v>0</v>
      </c>
      <c r="R95" s="466">
        <v>0</v>
      </c>
      <c r="S95" s="466"/>
      <c r="T95" s="466">
        <v>0</v>
      </c>
      <c r="U95" s="466">
        <v>0</v>
      </c>
      <c r="V95" s="466">
        <v>4000000</v>
      </c>
    </row>
    <row r="96" spans="1:22" s="468" customFormat="1" ht="45.75" customHeight="1">
      <c r="A96" s="462"/>
      <c r="B96" s="462"/>
      <c r="C96" s="462"/>
      <c r="D96" s="463"/>
      <c r="E96" s="493">
        <v>1</v>
      </c>
      <c r="F96" s="482">
        <v>4</v>
      </c>
      <c r="G96" s="494" t="s">
        <v>974</v>
      </c>
      <c r="H96" s="484" t="s">
        <v>1049</v>
      </c>
      <c r="I96" s="575" t="s">
        <v>910</v>
      </c>
      <c r="J96" s="466">
        <f t="shared" si="32"/>
        <v>2980000</v>
      </c>
      <c r="K96" s="527" t="s">
        <v>1122</v>
      </c>
      <c r="L96" s="467" t="s">
        <v>9</v>
      </c>
      <c r="M96" s="466">
        <v>0</v>
      </c>
      <c r="N96" s="466">
        <v>0</v>
      </c>
      <c r="O96" s="466">
        <v>0</v>
      </c>
      <c r="P96" s="466">
        <v>0</v>
      </c>
      <c r="Q96" s="466">
        <v>0</v>
      </c>
      <c r="R96" s="466">
        <v>0</v>
      </c>
      <c r="S96" s="466">
        <v>2980000</v>
      </c>
      <c r="T96" s="466">
        <v>0</v>
      </c>
      <c r="U96" s="466">
        <v>0</v>
      </c>
      <c r="V96" s="466">
        <v>0</v>
      </c>
    </row>
    <row r="97" spans="1:22" s="468" customFormat="1" ht="57.75" customHeight="1">
      <c r="A97" s="462"/>
      <c r="B97" s="462"/>
      <c r="C97" s="462"/>
      <c r="D97" s="437"/>
      <c r="E97" s="493">
        <v>1</v>
      </c>
      <c r="F97" s="482">
        <v>4</v>
      </c>
      <c r="G97" s="494" t="s">
        <v>976</v>
      </c>
      <c r="H97" s="484" t="s">
        <v>16</v>
      </c>
      <c r="I97" s="575" t="s">
        <v>910</v>
      </c>
      <c r="J97" s="466">
        <f t="shared" si="32"/>
        <v>1750000</v>
      </c>
      <c r="K97" s="527" t="s">
        <v>1122</v>
      </c>
      <c r="L97" s="467" t="s">
        <v>9</v>
      </c>
      <c r="M97" s="466">
        <v>0</v>
      </c>
      <c r="N97" s="466">
        <v>0</v>
      </c>
      <c r="O97" s="466">
        <v>0</v>
      </c>
      <c r="P97" s="466">
        <v>0</v>
      </c>
      <c r="Q97" s="466">
        <v>0</v>
      </c>
      <c r="R97" s="466">
        <v>0</v>
      </c>
      <c r="S97" s="466">
        <f>200000+150000+(40*30000)+200000</f>
        <v>1750000</v>
      </c>
      <c r="T97" s="466">
        <v>0</v>
      </c>
      <c r="U97" s="466">
        <v>0</v>
      </c>
      <c r="V97" s="466">
        <v>0</v>
      </c>
    </row>
    <row r="98" spans="1:22" s="468" customFormat="1" ht="48" customHeight="1">
      <c r="A98" s="462"/>
      <c r="B98" s="462"/>
      <c r="C98" s="462"/>
      <c r="D98" s="437"/>
      <c r="E98" s="493">
        <v>1</v>
      </c>
      <c r="F98" s="482">
        <v>4</v>
      </c>
      <c r="G98" s="494" t="s">
        <v>978</v>
      </c>
      <c r="H98" s="484" t="s">
        <v>98</v>
      </c>
      <c r="I98" s="575" t="s">
        <v>910</v>
      </c>
      <c r="J98" s="466">
        <f t="shared" si="32"/>
        <v>6000000</v>
      </c>
      <c r="K98" s="527" t="s">
        <v>1122</v>
      </c>
      <c r="L98" s="467" t="s">
        <v>914</v>
      </c>
      <c r="M98" s="466">
        <v>0</v>
      </c>
      <c r="N98" s="466">
        <v>0</v>
      </c>
      <c r="O98" s="466">
        <v>0</v>
      </c>
      <c r="P98" s="466">
        <v>0</v>
      </c>
      <c r="Q98" s="466">
        <v>0</v>
      </c>
      <c r="R98" s="466">
        <v>6000000</v>
      </c>
      <c r="S98" s="466"/>
      <c r="T98" s="466">
        <v>0</v>
      </c>
      <c r="U98" s="466">
        <v>0</v>
      </c>
      <c r="V98" s="466">
        <v>0</v>
      </c>
    </row>
    <row r="99" spans="1:22" s="468" customFormat="1" ht="39.75" customHeight="1">
      <c r="A99" s="462"/>
      <c r="B99" s="462"/>
      <c r="C99" s="462"/>
      <c r="D99" s="437"/>
      <c r="E99" s="493">
        <v>1</v>
      </c>
      <c r="F99" s="482">
        <v>4</v>
      </c>
      <c r="G99" s="494" t="s">
        <v>319</v>
      </c>
      <c r="H99" s="484" t="s">
        <v>101</v>
      </c>
      <c r="I99" s="575" t="s">
        <v>910</v>
      </c>
      <c r="J99" s="466">
        <f t="shared" si="32"/>
        <v>4300000</v>
      </c>
      <c r="K99" s="527" t="s">
        <v>1122</v>
      </c>
      <c r="L99" s="467" t="s">
        <v>9</v>
      </c>
      <c r="M99" s="466">
        <v>0</v>
      </c>
      <c r="N99" s="466">
        <v>0</v>
      </c>
      <c r="O99" s="466">
        <v>0</v>
      </c>
      <c r="P99" s="466">
        <v>0</v>
      </c>
      <c r="Q99" s="466">
        <v>0</v>
      </c>
      <c r="R99" s="466">
        <v>0</v>
      </c>
      <c r="S99" s="466">
        <v>4300000</v>
      </c>
      <c r="T99" s="466">
        <v>0</v>
      </c>
      <c r="U99" s="466">
        <v>0</v>
      </c>
      <c r="V99" s="466">
        <v>0</v>
      </c>
    </row>
    <row r="100" spans="1:22" s="468" customFormat="1" ht="39.75" customHeight="1">
      <c r="A100" s="462"/>
      <c r="B100" s="462"/>
      <c r="C100" s="462"/>
      <c r="D100" s="437"/>
      <c r="E100" s="493">
        <v>1</v>
      </c>
      <c r="F100" s="482">
        <v>4</v>
      </c>
      <c r="G100" s="494" t="s">
        <v>1042</v>
      </c>
      <c r="H100" s="484" t="s">
        <v>1112</v>
      </c>
      <c r="I100" s="575" t="s">
        <v>910</v>
      </c>
      <c r="J100" s="466">
        <f>SUM(L100:V100)</f>
        <v>10000000</v>
      </c>
      <c r="K100" s="527" t="s">
        <v>1122</v>
      </c>
      <c r="L100" s="467" t="s">
        <v>31</v>
      </c>
      <c r="M100" s="466"/>
      <c r="N100" s="466"/>
      <c r="O100" s="466"/>
      <c r="P100" s="466"/>
      <c r="Q100" s="466"/>
      <c r="R100" s="466"/>
      <c r="S100" s="466"/>
      <c r="T100" s="466">
        <v>10000000</v>
      </c>
      <c r="U100" s="466"/>
      <c r="V100" s="466"/>
    </row>
    <row r="101" spans="1:22" s="468" customFormat="1" ht="39.75" customHeight="1">
      <c r="A101" s="462"/>
      <c r="B101" s="462"/>
      <c r="C101" s="462"/>
      <c r="D101" s="437"/>
      <c r="E101" s="493">
        <v>1</v>
      </c>
      <c r="F101" s="482">
        <v>4</v>
      </c>
      <c r="G101" s="494" t="s">
        <v>1036</v>
      </c>
      <c r="H101" s="484" t="s">
        <v>402</v>
      </c>
      <c r="I101" s="575" t="s">
        <v>910</v>
      </c>
      <c r="J101" s="466">
        <f>SUM(L101:V101)</f>
        <v>6303000</v>
      </c>
      <c r="K101" s="527" t="s">
        <v>1122</v>
      </c>
      <c r="L101" s="467" t="s">
        <v>9</v>
      </c>
      <c r="M101" s="466"/>
      <c r="N101" s="466"/>
      <c r="O101" s="466"/>
      <c r="P101" s="466"/>
      <c r="Q101" s="466"/>
      <c r="R101" s="466"/>
      <c r="S101" s="466">
        <f>3*2101000</f>
        <v>6303000</v>
      </c>
      <c r="T101" s="466"/>
      <c r="U101" s="466"/>
      <c r="V101" s="466"/>
    </row>
    <row r="102" spans="1:22" s="468" customFormat="1" ht="39.75" customHeight="1">
      <c r="A102" s="462"/>
      <c r="B102" s="462"/>
      <c r="C102" s="462"/>
      <c r="D102" s="437"/>
      <c r="E102" s="493">
        <v>1</v>
      </c>
      <c r="F102" s="482">
        <v>4</v>
      </c>
      <c r="G102" s="494" t="s">
        <v>1038</v>
      </c>
      <c r="H102" s="484" t="s">
        <v>104</v>
      </c>
      <c r="I102" s="575" t="s">
        <v>910</v>
      </c>
      <c r="J102" s="466">
        <f>SUM(L102:V102)</f>
        <v>8100000</v>
      </c>
      <c r="K102" s="527" t="s">
        <v>1122</v>
      </c>
      <c r="L102" s="467" t="s">
        <v>9</v>
      </c>
      <c r="M102" s="466"/>
      <c r="N102" s="466"/>
      <c r="O102" s="466"/>
      <c r="P102" s="466"/>
      <c r="Q102" s="466"/>
      <c r="R102" s="466"/>
      <c r="S102" s="466">
        <f>27*300000</f>
        <v>8100000</v>
      </c>
      <c r="T102" s="466"/>
      <c r="U102" s="466"/>
      <c r="V102" s="466"/>
    </row>
    <row r="103" spans="1:22" s="468" customFormat="1" ht="40.5" customHeight="1">
      <c r="A103" s="462"/>
      <c r="B103" s="462"/>
      <c r="C103" s="462"/>
      <c r="D103" s="437"/>
      <c r="E103" s="493">
        <v>1</v>
      </c>
      <c r="F103" s="482">
        <v>4</v>
      </c>
      <c r="G103" s="494" t="s">
        <v>1030</v>
      </c>
      <c r="H103" s="484" t="s">
        <v>1050</v>
      </c>
      <c r="I103" s="575"/>
      <c r="J103" s="466">
        <f t="shared" si="32"/>
        <v>0</v>
      </c>
      <c r="K103" s="527"/>
      <c r="L103" s="467" t="s">
        <v>9</v>
      </c>
      <c r="M103" s="466">
        <v>0</v>
      </c>
      <c r="N103" s="466">
        <v>0</v>
      </c>
      <c r="O103" s="466">
        <v>0</v>
      </c>
      <c r="P103" s="466">
        <v>0</v>
      </c>
      <c r="Q103" s="466">
        <v>0</v>
      </c>
      <c r="R103" s="466">
        <v>0</v>
      </c>
      <c r="S103" s="466">
        <v>0</v>
      </c>
      <c r="T103" s="466">
        <v>0</v>
      </c>
      <c r="U103" s="466">
        <v>0</v>
      </c>
      <c r="V103" s="466">
        <v>0</v>
      </c>
    </row>
    <row r="104" spans="1:22" s="420" customFormat="1" ht="29.25" customHeight="1">
      <c r="A104" s="496"/>
      <c r="B104" s="496"/>
      <c r="C104" s="496"/>
      <c r="D104" s="497"/>
      <c r="E104" s="498">
        <v>1</v>
      </c>
      <c r="F104" s="499">
        <v>5</v>
      </c>
      <c r="G104" s="500"/>
      <c r="H104" s="501" t="s">
        <v>17</v>
      </c>
      <c r="I104" s="508"/>
      <c r="J104" s="447">
        <f t="shared" ref="J104:V104" si="33">SUM(J105:J108)</f>
        <v>20654228</v>
      </c>
      <c r="K104" s="448"/>
      <c r="L104" s="447">
        <f t="shared" si="33"/>
        <v>0</v>
      </c>
      <c r="M104" s="447">
        <f t="shared" si="33"/>
        <v>8000000</v>
      </c>
      <c r="N104" s="447">
        <f t="shared" si="33"/>
        <v>3600000</v>
      </c>
      <c r="O104" s="447">
        <f t="shared" si="33"/>
        <v>0</v>
      </c>
      <c r="P104" s="447">
        <f t="shared" si="33"/>
        <v>0</v>
      </c>
      <c r="Q104" s="447">
        <f t="shared" si="33"/>
        <v>0</v>
      </c>
      <c r="R104" s="447">
        <f t="shared" si="33"/>
        <v>0</v>
      </c>
      <c r="S104" s="447">
        <f t="shared" si="33"/>
        <v>6654228</v>
      </c>
      <c r="T104" s="447">
        <f t="shared" si="33"/>
        <v>0</v>
      </c>
      <c r="U104" s="447">
        <f t="shared" si="33"/>
        <v>0</v>
      </c>
      <c r="V104" s="447">
        <f t="shared" si="33"/>
        <v>2400000</v>
      </c>
    </row>
    <row r="105" spans="1:22" s="468" customFormat="1" ht="26.25" customHeight="1">
      <c r="A105" s="462"/>
      <c r="B105" s="462"/>
      <c r="C105" s="462"/>
      <c r="D105" s="437"/>
      <c r="E105" s="493">
        <v>1</v>
      </c>
      <c r="F105" s="482">
        <v>5</v>
      </c>
      <c r="G105" s="494" t="s">
        <v>960</v>
      </c>
      <c r="H105" s="484" t="s">
        <v>107</v>
      </c>
      <c r="I105" s="575" t="s">
        <v>1116</v>
      </c>
      <c r="J105" s="466">
        <f>SUM(L105:V105)</f>
        <v>2500000</v>
      </c>
      <c r="K105" s="527"/>
      <c r="L105" s="467" t="s">
        <v>9</v>
      </c>
      <c r="M105" s="466">
        <v>0</v>
      </c>
      <c r="N105" s="466">
        <v>0</v>
      </c>
      <c r="O105" s="466">
        <v>0</v>
      </c>
      <c r="P105" s="466">
        <v>0</v>
      </c>
      <c r="Q105" s="466">
        <v>0</v>
      </c>
      <c r="R105" s="466">
        <v>0</v>
      </c>
      <c r="S105" s="466">
        <v>2500000</v>
      </c>
      <c r="T105" s="466">
        <v>0</v>
      </c>
      <c r="U105" s="466">
        <v>0</v>
      </c>
      <c r="V105" s="466">
        <v>0</v>
      </c>
    </row>
    <row r="106" spans="1:22" s="468" customFormat="1" ht="26.25" customHeight="1">
      <c r="A106" s="462"/>
      <c r="B106" s="462"/>
      <c r="C106" s="462"/>
      <c r="D106" s="437"/>
      <c r="E106" s="493">
        <v>1</v>
      </c>
      <c r="F106" s="482">
        <v>5</v>
      </c>
      <c r="G106" s="494" t="s">
        <v>319</v>
      </c>
      <c r="H106" s="484" t="s">
        <v>1113</v>
      </c>
      <c r="I106" s="575" t="s">
        <v>1116</v>
      </c>
      <c r="J106" s="466">
        <f>SUM(L106:V106)</f>
        <v>4154228</v>
      </c>
      <c r="K106" s="527"/>
      <c r="L106" s="467" t="s">
        <v>9</v>
      </c>
      <c r="M106" s="466"/>
      <c r="N106" s="466"/>
      <c r="O106" s="466">
        <v>0</v>
      </c>
      <c r="P106" s="466">
        <v>0</v>
      </c>
      <c r="Q106" s="466">
        <v>0</v>
      </c>
      <c r="R106" s="466">
        <v>0</v>
      </c>
      <c r="S106" s="466">
        <f>5000000-845772</f>
        <v>4154228</v>
      </c>
      <c r="T106" s="466">
        <v>0</v>
      </c>
      <c r="U106" s="466">
        <v>0</v>
      </c>
      <c r="V106" s="466">
        <v>0</v>
      </c>
    </row>
    <row r="107" spans="1:22" s="468" customFormat="1" ht="41.25" customHeight="1">
      <c r="A107" s="462"/>
      <c r="B107" s="462"/>
      <c r="C107" s="462"/>
      <c r="D107" s="437"/>
      <c r="E107" s="493">
        <v>1</v>
      </c>
      <c r="F107" s="482">
        <v>5</v>
      </c>
      <c r="G107" s="494" t="s">
        <v>1037</v>
      </c>
      <c r="H107" s="484" t="s">
        <v>51</v>
      </c>
      <c r="I107" s="575" t="s">
        <v>1116</v>
      </c>
      <c r="J107" s="466">
        <f>SUM(L107:V107)</f>
        <v>14000000</v>
      </c>
      <c r="K107" s="527" t="s">
        <v>1122</v>
      </c>
      <c r="L107" s="467" t="s">
        <v>1115</v>
      </c>
      <c r="M107" s="466">
        <v>8000000</v>
      </c>
      <c r="N107" s="466">
        <v>3600000</v>
      </c>
      <c r="O107" s="466">
        <v>0</v>
      </c>
      <c r="P107" s="466">
        <v>0</v>
      </c>
      <c r="Q107" s="466">
        <v>0</v>
      </c>
      <c r="R107" s="466">
        <v>0</v>
      </c>
      <c r="S107" s="466"/>
      <c r="T107" s="466">
        <v>0</v>
      </c>
      <c r="U107" s="466">
        <v>0</v>
      </c>
      <c r="V107" s="466">
        <v>2400000</v>
      </c>
    </row>
    <row r="108" spans="1:22" s="468" customFormat="1" ht="27" customHeight="1">
      <c r="A108" s="462"/>
      <c r="B108" s="462"/>
      <c r="C108" s="462"/>
      <c r="D108" s="437"/>
      <c r="E108" s="493">
        <v>1</v>
      </c>
      <c r="F108" s="482">
        <v>5</v>
      </c>
      <c r="G108" s="494" t="s">
        <v>1030</v>
      </c>
      <c r="H108" s="495" t="s">
        <v>1052</v>
      </c>
      <c r="I108" s="576"/>
      <c r="J108" s="466">
        <f>SUM(L108:V108)</f>
        <v>0</v>
      </c>
      <c r="K108" s="527"/>
      <c r="L108" s="467" t="s">
        <v>9</v>
      </c>
      <c r="M108" s="466">
        <v>0</v>
      </c>
      <c r="N108" s="466">
        <v>0</v>
      </c>
      <c r="O108" s="466">
        <v>0</v>
      </c>
      <c r="P108" s="466">
        <v>0</v>
      </c>
      <c r="Q108" s="466">
        <v>0</v>
      </c>
      <c r="R108" s="466">
        <v>0</v>
      </c>
      <c r="S108" s="466">
        <v>0</v>
      </c>
      <c r="T108" s="466">
        <v>0</v>
      </c>
      <c r="U108" s="466">
        <v>0</v>
      </c>
      <c r="V108" s="466">
        <v>0</v>
      </c>
    </row>
    <row r="109" spans="1:22" s="420" customFormat="1" ht="27" customHeight="1">
      <c r="A109" s="450"/>
      <c r="B109" s="450"/>
      <c r="C109" s="450"/>
      <c r="D109" s="505"/>
      <c r="E109" s="451">
        <v>2</v>
      </c>
      <c r="F109" s="506"/>
      <c r="G109" s="506"/>
      <c r="H109" s="452" t="s">
        <v>115</v>
      </c>
      <c r="I109" s="451"/>
      <c r="J109" s="453">
        <f t="shared" ref="J109:V109" si="34">J110+J115+J126+J133+J136+J139</f>
        <v>1358125720</v>
      </c>
      <c r="K109" s="538"/>
      <c r="L109" s="453" t="e">
        <f t="shared" si="34"/>
        <v>#VALUE!</v>
      </c>
      <c r="M109" s="453">
        <f t="shared" si="34"/>
        <v>0</v>
      </c>
      <c r="N109" s="453">
        <f t="shared" si="34"/>
        <v>0</v>
      </c>
      <c r="O109" s="453">
        <f t="shared" si="34"/>
        <v>0</v>
      </c>
      <c r="P109" s="453">
        <f t="shared" si="34"/>
        <v>0</v>
      </c>
      <c r="Q109" s="453">
        <f t="shared" si="34"/>
        <v>0</v>
      </c>
      <c r="R109" s="453">
        <f t="shared" si="34"/>
        <v>986125720</v>
      </c>
      <c r="S109" s="453">
        <f t="shared" si="34"/>
        <v>0</v>
      </c>
      <c r="T109" s="453">
        <f t="shared" si="34"/>
        <v>0</v>
      </c>
      <c r="U109" s="453">
        <f t="shared" si="34"/>
        <v>350000000</v>
      </c>
      <c r="V109" s="453">
        <f t="shared" si="34"/>
        <v>22000000</v>
      </c>
    </row>
    <row r="110" spans="1:22" s="420" customFormat="1" ht="29.25" customHeight="1">
      <c r="A110" s="496"/>
      <c r="B110" s="496"/>
      <c r="C110" s="496"/>
      <c r="D110" s="497"/>
      <c r="E110" s="444">
        <v>2</v>
      </c>
      <c r="F110" s="507">
        <v>1</v>
      </c>
      <c r="G110" s="507"/>
      <c r="H110" s="445" t="s">
        <v>20</v>
      </c>
      <c r="I110" s="444"/>
      <c r="J110" s="447">
        <f>SUM(J111:J114)</f>
        <v>53000000</v>
      </c>
      <c r="K110" s="448"/>
      <c r="L110" s="448" t="s">
        <v>21</v>
      </c>
      <c r="M110" s="447">
        <f t="shared" ref="M110:V110" si="35">SUM(M111:M114)</f>
        <v>0</v>
      </c>
      <c r="N110" s="447">
        <f t="shared" si="35"/>
        <v>0</v>
      </c>
      <c r="O110" s="447">
        <f t="shared" si="35"/>
        <v>0</v>
      </c>
      <c r="P110" s="447">
        <f t="shared" si="35"/>
        <v>0</v>
      </c>
      <c r="Q110" s="447">
        <f t="shared" si="35"/>
        <v>0</v>
      </c>
      <c r="R110" s="447">
        <f t="shared" si="35"/>
        <v>53000000</v>
      </c>
      <c r="S110" s="447">
        <f t="shared" si="35"/>
        <v>0</v>
      </c>
      <c r="T110" s="447">
        <f t="shared" si="35"/>
        <v>0</v>
      </c>
      <c r="U110" s="447">
        <f t="shared" si="35"/>
        <v>0</v>
      </c>
      <c r="V110" s="447">
        <f t="shared" si="35"/>
        <v>0</v>
      </c>
    </row>
    <row r="111" spans="1:22" s="468" customFormat="1" ht="51" customHeight="1">
      <c r="A111" s="462"/>
      <c r="B111" s="462"/>
      <c r="C111" s="462"/>
      <c r="D111" s="437"/>
      <c r="E111" s="481">
        <v>2</v>
      </c>
      <c r="F111" s="482">
        <v>1</v>
      </c>
      <c r="G111" s="482" t="s">
        <v>960</v>
      </c>
      <c r="H111" s="484" t="s">
        <v>916</v>
      </c>
      <c r="I111" s="575" t="s">
        <v>1116</v>
      </c>
      <c r="J111" s="466">
        <f>SUM(L111:V111)</f>
        <v>23300000</v>
      </c>
      <c r="K111" s="527" t="s">
        <v>1122</v>
      </c>
      <c r="L111" s="467" t="s">
        <v>21</v>
      </c>
      <c r="M111" s="466">
        <v>0</v>
      </c>
      <c r="N111" s="466">
        <v>0</v>
      </c>
      <c r="O111" s="466">
        <v>0</v>
      </c>
      <c r="P111" s="466">
        <v>0</v>
      </c>
      <c r="Q111" s="466">
        <v>0</v>
      </c>
      <c r="R111" s="466">
        <v>23300000</v>
      </c>
      <c r="S111" s="466">
        <v>0</v>
      </c>
      <c r="T111" s="466">
        <v>0</v>
      </c>
      <c r="U111" s="466">
        <v>0</v>
      </c>
      <c r="V111" s="466">
        <v>0</v>
      </c>
    </row>
    <row r="112" spans="1:22" s="468" customFormat="1" ht="51" customHeight="1">
      <c r="A112" s="462"/>
      <c r="B112" s="462"/>
      <c r="C112" s="462"/>
      <c r="D112" s="437"/>
      <c r="E112" s="481">
        <v>2</v>
      </c>
      <c r="F112" s="482">
        <v>1</v>
      </c>
      <c r="G112" s="482" t="s">
        <v>978</v>
      </c>
      <c r="H112" s="484" t="s">
        <v>917</v>
      </c>
      <c r="I112" s="575" t="s">
        <v>1116</v>
      </c>
      <c r="J112" s="466">
        <f>SUM(L112:V112)</f>
        <v>4700000</v>
      </c>
      <c r="K112" s="527" t="s">
        <v>1122</v>
      </c>
      <c r="L112" s="467" t="s">
        <v>21</v>
      </c>
      <c r="M112" s="466">
        <v>0</v>
      </c>
      <c r="N112" s="466">
        <v>0</v>
      </c>
      <c r="O112" s="466">
        <v>0</v>
      </c>
      <c r="P112" s="466">
        <v>0</v>
      </c>
      <c r="Q112" s="466">
        <v>0</v>
      </c>
      <c r="R112" s="466">
        <v>4700000</v>
      </c>
      <c r="S112" s="466">
        <v>0</v>
      </c>
      <c r="T112" s="466">
        <v>0</v>
      </c>
      <c r="U112" s="466">
        <v>0</v>
      </c>
      <c r="V112" s="466">
        <v>0</v>
      </c>
    </row>
    <row r="113" spans="1:22" s="468" customFormat="1" ht="51" customHeight="1">
      <c r="A113" s="462"/>
      <c r="B113" s="462"/>
      <c r="C113" s="462"/>
      <c r="D113" s="437"/>
      <c r="E113" s="481">
        <v>2</v>
      </c>
      <c r="F113" s="482">
        <v>1</v>
      </c>
      <c r="G113" s="482" t="s">
        <v>319</v>
      </c>
      <c r="H113" s="484" t="s">
        <v>122</v>
      </c>
      <c r="I113" s="575" t="s">
        <v>1116</v>
      </c>
      <c r="J113" s="466">
        <f>SUM(L113:V113)</f>
        <v>25000000</v>
      </c>
      <c r="K113" s="527" t="s">
        <v>1122</v>
      </c>
      <c r="L113" s="467" t="s">
        <v>21</v>
      </c>
      <c r="M113" s="466">
        <v>0</v>
      </c>
      <c r="N113" s="466">
        <v>0</v>
      </c>
      <c r="O113" s="466">
        <v>0</v>
      </c>
      <c r="P113" s="466">
        <v>0</v>
      </c>
      <c r="Q113" s="466">
        <v>0</v>
      </c>
      <c r="R113" s="565">
        <v>25000000</v>
      </c>
      <c r="S113" s="466">
        <v>0</v>
      </c>
      <c r="T113" s="466">
        <v>0</v>
      </c>
      <c r="U113" s="466">
        <v>0</v>
      </c>
      <c r="V113" s="466">
        <v>0</v>
      </c>
    </row>
    <row r="114" spans="1:22" s="468" customFormat="1" ht="29.25" customHeight="1">
      <c r="A114" s="462"/>
      <c r="B114" s="462"/>
      <c r="C114" s="462"/>
      <c r="D114" s="437">
        <v>5</v>
      </c>
      <c r="E114" s="481">
        <v>2</v>
      </c>
      <c r="F114" s="482">
        <v>1</v>
      </c>
      <c r="G114" s="482" t="s">
        <v>1030</v>
      </c>
      <c r="H114" s="484" t="s">
        <v>1053</v>
      </c>
      <c r="I114" s="575"/>
      <c r="J114" s="466">
        <f>SUM(L114:V114)</f>
        <v>0</v>
      </c>
      <c r="K114" s="527"/>
      <c r="L114" s="467" t="s">
        <v>21</v>
      </c>
      <c r="M114" s="466">
        <v>0</v>
      </c>
      <c r="N114" s="466">
        <v>0</v>
      </c>
      <c r="O114" s="466">
        <v>0</v>
      </c>
      <c r="P114" s="466">
        <v>0</v>
      </c>
      <c r="Q114" s="466">
        <v>0</v>
      </c>
      <c r="R114" s="466">
        <v>0</v>
      </c>
      <c r="S114" s="466">
        <v>0</v>
      </c>
      <c r="T114" s="466">
        <v>0</v>
      </c>
      <c r="U114" s="466">
        <v>0</v>
      </c>
      <c r="V114" s="466">
        <v>0</v>
      </c>
    </row>
    <row r="115" spans="1:22" s="420" customFormat="1" ht="29.25" customHeight="1">
      <c r="A115" s="496"/>
      <c r="B115" s="496"/>
      <c r="C115" s="496"/>
      <c r="D115" s="497"/>
      <c r="E115" s="508">
        <v>2</v>
      </c>
      <c r="F115" s="499">
        <v>2</v>
      </c>
      <c r="G115" s="499"/>
      <c r="H115" s="509" t="s">
        <v>22</v>
      </c>
      <c r="I115" s="498"/>
      <c r="J115" s="447">
        <f>SUM(J116:J125)</f>
        <v>222160000</v>
      </c>
      <c r="K115" s="448"/>
      <c r="L115" s="448" t="s">
        <v>21</v>
      </c>
      <c r="M115" s="447">
        <f t="shared" ref="M115:V115" si="36">SUM(M116:M125)</f>
        <v>0</v>
      </c>
      <c r="N115" s="447">
        <f t="shared" si="36"/>
        <v>0</v>
      </c>
      <c r="O115" s="447">
        <f t="shared" si="36"/>
        <v>0</v>
      </c>
      <c r="P115" s="447">
        <f t="shared" si="36"/>
        <v>0</v>
      </c>
      <c r="Q115" s="447">
        <f t="shared" si="36"/>
        <v>0</v>
      </c>
      <c r="R115" s="447">
        <f t="shared" si="36"/>
        <v>222160000</v>
      </c>
      <c r="S115" s="447">
        <f t="shared" si="36"/>
        <v>0</v>
      </c>
      <c r="T115" s="447">
        <f t="shared" si="36"/>
        <v>0</v>
      </c>
      <c r="U115" s="447">
        <f t="shared" si="36"/>
        <v>0</v>
      </c>
      <c r="V115" s="447">
        <f t="shared" si="36"/>
        <v>0</v>
      </c>
    </row>
    <row r="116" spans="1:22" s="468" customFormat="1" ht="41.25" customHeight="1">
      <c r="A116" s="462"/>
      <c r="B116" s="462"/>
      <c r="C116" s="462"/>
      <c r="D116" s="437"/>
      <c r="E116" s="481">
        <v>2</v>
      </c>
      <c r="F116" s="482">
        <v>2</v>
      </c>
      <c r="G116" s="482" t="s">
        <v>966</v>
      </c>
      <c r="H116" s="484" t="s">
        <v>23</v>
      </c>
      <c r="I116" s="575" t="s">
        <v>1116</v>
      </c>
      <c r="J116" s="466">
        <f>SUM(L116:V116)</f>
        <v>68560000</v>
      </c>
      <c r="K116" s="527" t="s">
        <v>1122</v>
      </c>
      <c r="L116" s="467" t="s">
        <v>21</v>
      </c>
      <c r="M116" s="466">
        <v>0</v>
      </c>
      <c r="N116" s="466">
        <v>0</v>
      </c>
      <c r="O116" s="466">
        <v>0</v>
      </c>
      <c r="P116" s="466">
        <v>0</v>
      </c>
      <c r="Q116" s="466">
        <v>0</v>
      </c>
      <c r="R116" s="466">
        <v>68560000</v>
      </c>
      <c r="S116" s="466">
        <v>0</v>
      </c>
      <c r="T116" s="466">
        <v>0</v>
      </c>
      <c r="U116" s="466">
        <v>0</v>
      </c>
      <c r="V116" s="466">
        <v>0</v>
      </c>
    </row>
    <row r="117" spans="1:22" s="468" customFormat="1" ht="42" customHeight="1">
      <c r="A117" s="462"/>
      <c r="B117" s="462"/>
      <c r="C117" s="462"/>
      <c r="D117" s="437"/>
      <c r="E117" s="481">
        <v>2</v>
      </c>
      <c r="F117" s="482">
        <v>2</v>
      </c>
      <c r="G117" s="482" t="s">
        <v>968</v>
      </c>
      <c r="H117" s="484" t="s">
        <v>313</v>
      </c>
      <c r="I117" s="575" t="s">
        <v>1116</v>
      </c>
      <c r="J117" s="466">
        <f t="shared" ref="J117:J125" si="37">SUM(L117:V117)</f>
        <v>6000000</v>
      </c>
      <c r="K117" s="527" t="s">
        <v>1122</v>
      </c>
      <c r="L117" s="467" t="s">
        <v>21</v>
      </c>
      <c r="M117" s="466">
        <v>0</v>
      </c>
      <c r="N117" s="466">
        <v>0</v>
      </c>
      <c r="O117" s="466">
        <v>0</v>
      </c>
      <c r="P117" s="466">
        <v>0</v>
      </c>
      <c r="Q117" s="466">
        <v>0</v>
      </c>
      <c r="R117" s="466">
        <v>6000000</v>
      </c>
      <c r="S117" s="466">
        <v>0</v>
      </c>
      <c r="T117" s="466">
        <v>0</v>
      </c>
      <c r="U117" s="466">
        <v>0</v>
      </c>
      <c r="V117" s="466">
        <v>0</v>
      </c>
    </row>
    <row r="118" spans="1:22" s="468" customFormat="1" ht="29.25" customHeight="1">
      <c r="A118" s="462"/>
      <c r="B118" s="462"/>
      <c r="C118" s="462"/>
      <c r="D118" s="437"/>
      <c r="E118" s="481">
        <v>2</v>
      </c>
      <c r="F118" s="482">
        <v>2</v>
      </c>
      <c r="G118" s="482" t="s">
        <v>970</v>
      </c>
      <c r="H118" s="495" t="s">
        <v>24</v>
      </c>
      <c r="I118" s="575" t="s">
        <v>1116</v>
      </c>
      <c r="J118" s="466">
        <f t="shared" si="37"/>
        <v>15000000</v>
      </c>
      <c r="K118" s="527" t="s">
        <v>1122</v>
      </c>
      <c r="L118" s="467" t="s">
        <v>21</v>
      </c>
      <c r="M118" s="466">
        <v>0</v>
      </c>
      <c r="N118" s="466">
        <v>0</v>
      </c>
      <c r="O118" s="466">
        <v>0</v>
      </c>
      <c r="P118" s="466">
        <v>0</v>
      </c>
      <c r="Q118" s="466">
        <v>0</v>
      </c>
      <c r="R118" s="466">
        <v>15000000</v>
      </c>
      <c r="S118" s="466">
        <v>0</v>
      </c>
      <c r="T118" s="466">
        <v>0</v>
      </c>
      <c r="U118" s="466">
        <v>0</v>
      </c>
      <c r="V118" s="466">
        <v>0</v>
      </c>
    </row>
    <row r="119" spans="1:22" s="468" customFormat="1" ht="29.25" customHeight="1">
      <c r="A119" s="462"/>
      <c r="B119" s="462"/>
      <c r="C119" s="462"/>
      <c r="D119" s="437"/>
      <c r="E119" s="481">
        <v>2</v>
      </c>
      <c r="F119" s="482">
        <v>2</v>
      </c>
      <c r="G119" s="482" t="s">
        <v>974</v>
      </c>
      <c r="H119" s="495" t="s">
        <v>128</v>
      </c>
      <c r="I119" s="575" t="s">
        <v>1116</v>
      </c>
      <c r="J119" s="466">
        <f t="shared" si="37"/>
        <v>3500000</v>
      </c>
      <c r="K119" s="527" t="s">
        <v>1122</v>
      </c>
      <c r="L119" s="467" t="s">
        <v>21</v>
      </c>
      <c r="M119" s="466">
        <v>0</v>
      </c>
      <c r="N119" s="466">
        <v>0</v>
      </c>
      <c r="O119" s="466">
        <v>0</v>
      </c>
      <c r="P119" s="466">
        <v>0</v>
      </c>
      <c r="Q119" s="466">
        <v>0</v>
      </c>
      <c r="R119" s="466">
        <v>3500000</v>
      </c>
      <c r="S119" s="466">
        <v>0</v>
      </c>
      <c r="T119" s="466">
        <v>0</v>
      </c>
      <c r="U119" s="466">
        <v>0</v>
      </c>
      <c r="V119" s="466">
        <v>0</v>
      </c>
    </row>
    <row r="120" spans="1:22" s="468" customFormat="1" ht="41.25" customHeight="1">
      <c r="A120" s="462"/>
      <c r="B120" s="462"/>
      <c r="C120" s="462"/>
      <c r="D120" s="437"/>
      <c r="E120" s="481">
        <v>2</v>
      </c>
      <c r="F120" s="482">
        <v>2</v>
      </c>
      <c r="G120" s="482" t="s">
        <v>1054</v>
      </c>
      <c r="H120" s="484" t="s">
        <v>130</v>
      </c>
      <c r="I120" s="575" t="s">
        <v>1116</v>
      </c>
      <c r="J120" s="466">
        <f>SUM(L120:V120)</f>
        <v>14000000</v>
      </c>
      <c r="K120" s="527" t="s">
        <v>1122</v>
      </c>
      <c r="L120" s="467" t="s">
        <v>21</v>
      </c>
      <c r="M120" s="466">
        <v>0</v>
      </c>
      <c r="N120" s="466">
        <v>0</v>
      </c>
      <c r="O120" s="466">
        <v>0</v>
      </c>
      <c r="P120" s="466">
        <v>0</v>
      </c>
      <c r="Q120" s="466">
        <v>0</v>
      </c>
      <c r="R120" s="466">
        <v>14000000</v>
      </c>
      <c r="S120" s="466">
        <v>0</v>
      </c>
      <c r="T120" s="466">
        <v>0</v>
      </c>
      <c r="U120" s="466">
        <v>0</v>
      </c>
      <c r="V120" s="466">
        <v>0</v>
      </c>
    </row>
    <row r="121" spans="1:22" s="468" customFormat="1" ht="29.25" customHeight="1">
      <c r="A121" s="462"/>
      <c r="B121" s="462"/>
      <c r="C121" s="462"/>
      <c r="D121" s="437"/>
      <c r="E121" s="481">
        <v>2</v>
      </c>
      <c r="F121" s="482">
        <v>2</v>
      </c>
      <c r="G121" s="482" t="s">
        <v>319</v>
      </c>
      <c r="H121" s="495" t="s">
        <v>131</v>
      </c>
      <c r="I121" s="575" t="s">
        <v>1116</v>
      </c>
      <c r="J121" s="466">
        <f t="shared" si="37"/>
        <v>3500000</v>
      </c>
      <c r="K121" s="527" t="s">
        <v>1122</v>
      </c>
      <c r="L121" s="467" t="s">
        <v>21</v>
      </c>
      <c r="M121" s="466">
        <v>0</v>
      </c>
      <c r="N121" s="466">
        <v>0</v>
      </c>
      <c r="O121" s="466">
        <v>0</v>
      </c>
      <c r="P121" s="466">
        <v>0</v>
      </c>
      <c r="Q121" s="466">
        <v>0</v>
      </c>
      <c r="R121" s="466">
        <v>3500000</v>
      </c>
      <c r="S121" s="466">
        <v>0</v>
      </c>
      <c r="T121" s="466">
        <v>0</v>
      </c>
      <c r="U121" s="466">
        <v>0</v>
      </c>
      <c r="V121" s="466">
        <v>0</v>
      </c>
    </row>
    <row r="122" spans="1:22" s="468" customFormat="1" ht="29.25" customHeight="1">
      <c r="A122" s="462"/>
      <c r="B122" s="462"/>
      <c r="C122" s="462"/>
      <c r="D122" s="437"/>
      <c r="E122" s="481">
        <v>2</v>
      </c>
      <c r="F122" s="482">
        <v>2</v>
      </c>
      <c r="G122" s="482" t="s">
        <v>1042</v>
      </c>
      <c r="H122" s="495" t="s">
        <v>132</v>
      </c>
      <c r="I122" s="575" t="s">
        <v>1116</v>
      </c>
      <c r="J122" s="466">
        <f t="shared" si="37"/>
        <v>27000000</v>
      </c>
      <c r="K122" s="527" t="s">
        <v>1122</v>
      </c>
      <c r="L122" s="467" t="s">
        <v>21</v>
      </c>
      <c r="M122" s="466"/>
      <c r="N122" s="466"/>
      <c r="O122" s="466"/>
      <c r="P122" s="466"/>
      <c r="Q122" s="466"/>
      <c r="R122" s="466">
        <f>2250000*12</f>
        <v>27000000</v>
      </c>
      <c r="S122" s="466"/>
      <c r="T122" s="466"/>
      <c r="U122" s="466"/>
      <c r="V122" s="466"/>
    </row>
    <row r="123" spans="1:22" s="468" customFormat="1" ht="29.25" customHeight="1">
      <c r="A123" s="462"/>
      <c r="B123" s="462"/>
      <c r="C123" s="462"/>
      <c r="D123" s="437"/>
      <c r="E123" s="481">
        <v>2</v>
      </c>
      <c r="F123" s="482">
        <v>2</v>
      </c>
      <c r="G123" s="482" t="s">
        <v>1037</v>
      </c>
      <c r="H123" s="495" t="s">
        <v>57</v>
      </c>
      <c r="I123" s="575" t="s">
        <v>1116</v>
      </c>
      <c r="J123" s="466">
        <f>SUM(L123:V123)</f>
        <v>14040000</v>
      </c>
      <c r="K123" s="527" t="s">
        <v>1122</v>
      </c>
      <c r="L123" s="467" t="s">
        <v>21</v>
      </c>
      <c r="M123" s="466">
        <v>0</v>
      </c>
      <c r="N123" s="466">
        <v>0</v>
      </c>
      <c r="O123" s="466">
        <v>0</v>
      </c>
      <c r="P123" s="466">
        <v>0</v>
      </c>
      <c r="Q123" s="466">
        <v>0</v>
      </c>
      <c r="R123" s="466">
        <v>14040000</v>
      </c>
      <c r="S123" s="466">
        <v>0</v>
      </c>
      <c r="T123" s="466">
        <v>0</v>
      </c>
      <c r="U123" s="466">
        <v>0</v>
      </c>
      <c r="V123" s="466">
        <v>0</v>
      </c>
    </row>
    <row r="124" spans="1:22" s="468" customFormat="1" ht="29.25" customHeight="1">
      <c r="A124" s="462"/>
      <c r="B124" s="462"/>
      <c r="C124" s="462"/>
      <c r="D124" s="437"/>
      <c r="E124" s="481">
        <v>2</v>
      </c>
      <c r="F124" s="482">
        <v>2</v>
      </c>
      <c r="G124" s="482" t="s">
        <v>1055</v>
      </c>
      <c r="H124" s="495" t="s">
        <v>137</v>
      </c>
      <c r="I124" s="575" t="s">
        <v>1116</v>
      </c>
      <c r="J124" s="466">
        <f>SUM(L124:V124)</f>
        <v>70560000</v>
      </c>
      <c r="K124" s="527" t="s">
        <v>1122</v>
      </c>
      <c r="L124" s="467" t="s">
        <v>21</v>
      </c>
      <c r="M124" s="466"/>
      <c r="N124" s="466"/>
      <c r="O124" s="466"/>
      <c r="P124" s="466"/>
      <c r="Q124" s="466"/>
      <c r="R124" s="466">
        <v>70560000</v>
      </c>
      <c r="S124" s="466"/>
      <c r="T124" s="466"/>
      <c r="U124" s="466"/>
      <c r="V124" s="466"/>
    </row>
    <row r="125" spans="1:22" s="468" customFormat="1" ht="29.25" customHeight="1">
      <c r="A125" s="462"/>
      <c r="B125" s="462"/>
      <c r="C125" s="462"/>
      <c r="D125" s="437"/>
      <c r="E125" s="481">
        <v>2</v>
      </c>
      <c r="F125" s="482">
        <v>2</v>
      </c>
      <c r="G125" s="510" t="s">
        <v>1030</v>
      </c>
      <c r="H125" s="495" t="s">
        <v>1056</v>
      </c>
      <c r="I125" s="576"/>
      <c r="J125" s="466">
        <f t="shared" si="37"/>
        <v>0</v>
      </c>
      <c r="K125" s="527"/>
      <c r="L125" s="467" t="s">
        <v>21</v>
      </c>
      <c r="M125" s="466">
        <v>0</v>
      </c>
      <c r="N125" s="466">
        <v>0</v>
      </c>
      <c r="O125" s="466">
        <v>0</v>
      </c>
      <c r="P125" s="466">
        <v>0</v>
      </c>
      <c r="Q125" s="466">
        <v>0</v>
      </c>
      <c r="R125" s="466">
        <v>0</v>
      </c>
      <c r="S125" s="466">
        <v>0</v>
      </c>
      <c r="T125" s="466">
        <v>0</v>
      </c>
      <c r="U125" s="466">
        <v>0</v>
      </c>
      <c r="V125" s="466">
        <v>0</v>
      </c>
    </row>
    <row r="126" spans="1:22" s="420" customFormat="1" ht="39.75" customHeight="1">
      <c r="A126" s="496"/>
      <c r="B126" s="496"/>
      <c r="C126" s="496"/>
      <c r="D126" s="497"/>
      <c r="E126" s="508">
        <v>2</v>
      </c>
      <c r="F126" s="499">
        <v>3</v>
      </c>
      <c r="G126" s="507"/>
      <c r="H126" s="509" t="s">
        <v>25</v>
      </c>
      <c r="I126" s="498"/>
      <c r="J126" s="447">
        <f>SUM(J127:J132)</f>
        <v>965915720</v>
      </c>
      <c r="K126" s="448"/>
      <c r="L126" s="448" t="s">
        <v>1057</v>
      </c>
      <c r="M126" s="447">
        <f t="shared" ref="M126:V126" si="38">SUM(M127:M132)</f>
        <v>0</v>
      </c>
      <c r="N126" s="447">
        <f t="shared" si="38"/>
        <v>0</v>
      </c>
      <c r="O126" s="447">
        <f t="shared" si="38"/>
        <v>0</v>
      </c>
      <c r="P126" s="447">
        <f t="shared" si="38"/>
        <v>0</v>
      </c>
      <c r="Q126" s="447">
        <f t="shared" si="38"/>
        <v>0</v>
      </c>
      <c r="R126" s="447">
        <f t="shared" si="38"/>
        <v>593915720</v>
      </c>
      <c r="S126" s="447">
        <f t="shared" si="38"/>
        <v>0</v>
      </c>
      <c r="T126" s="447">
        <f t="shared" si="38"/>
        <v>0</v>
      </c>
      <c r="U126" s="447">
        <f t="shared" si="38"/>
        <v>350000000</v>
      </c>
      <c r="V126" s="447">
        <f t="shared" si="38"/>
        <v>22000000</v>
      </c>
    </row>
    <row r="127" spans="1:22" s="468" customFormat="1" ht="38.25" customHeight="1">
      <c r="A127" s="462"/>
      <c r="B127" s="462"/>
      <c r="C127" s="462"/>
      <c r="D127" s="437"/>
      <c r="E127" s="481">
        <v>2</v>
      </c>
      <c r="F127" s="482">
        <v>3</v>
      </c>
      <c r="G127" s="482" t="s">
        <v>1058</v>
      </c>
      <c r="H127" s="483" t="s">
        <v>918</v>
      </c>
      <c r="I127" s="575" t="s">
        <v>1116</v>
      </c>
      <c r="J127" s="466">
        <f t="shared" ref="J127:J132" si="39">SUM(L127:V127)</f>
        <v>509201500</v>
      </c>
      <c r="K127" s="527" t="s">
        <v>1122</v>
      </c>
      <c r="L127" s="467" t="s">
        <v>1057</v>
      </c>
      <c r="M127" s="466">
        <v>0</v>
      </c>
      <c r="N127" s="466">
        <v>0</v>
      </c>
      <c r="O127" s="466">
        <v>0</v>
      </c>
      <c r="P127" s="466">
        <v>0</v>
      </c>
      <c r="Q127" s="466">
        <v>0</v>
      </c>
      <c r="R127" s="565">
        <f>400000000+22201500-5000000-200000000-25000000</f>
        <v>192201500</v>
      </c>
      <c r="S127" s="466">
        <v>0</v>
      </c>
      <c r="T127" s="466">
        <v>0</v>
      </c>
      <c r="U127" s="466">
        <v>295000000</v>
      </c>
      <c r="V127" s="466">
        <f>42000000+40000000-40000000-20000000</f>
        <v>22000000</v>
      </c>
    </row>
    <row r="128" spans="1:22" s="468" customFormat="1" ht="39.75" customHeight="1">
      <c r="A128" s="462"/>
      <c r="B128" s="462"/>
      <c r="C128" s="462"/>
      <c r="D128" s="437"/>
      <c r="E128" s="481">
        <v>2</v>
      </c>
      <c r="F128" s="482">
        <v>3</v>
      </c>
      <c r="G128" s="482" t="s">
        <v>1059</v>
      </c>
      <c r="H128" s="484" t="s">
        <v>920</v>
      </c>
      <c r="I128" s="575" t="s">
        <v>1116</v>
      </c>
      <c r="J128" s="466">
        <f t="shared" si="39"/>
        <v>56714220</v>
      </c>
      <c r="K128" s="527" t="s">
        <v>1122</v>
      </c>
      <c r="L128" s="467" t="s">
        <v>21</v>
      </c>
      <c r="M128" s="466">
        <v>0</v>
      </c>
      <c r="N128" s="466">
        <v>0</v>
      </c>
      <c r="O128" s="466">
        <v>0</v>
      </c>
      <c r="P128" s="466">
        <v>0</v>
      </c>
      <c r="Q128" s="466">
        <v>0</v>
      </c>
      <c r="R128" s="565">
        <f>(14*10000000)-83285780</f>
        <v>56714220</v>
      </c>
      <c r="S128" s="466">
        <v>0</v>
      </c>
      <c r="T128" s="466">
        <v>0</v>
      </c>
      <c r="U128" s="466">
        <v>0</v>
      </c>
      <c r="V128" s="466">
        <v>0</v>
      </c>
    </row>
    <row r="129" spans="1:22" s="468" customFormat="1" ht="43.5" customHeight="1">
      <c r="A129" s="462"/>
      <c r="B129" s="462"/>
      <c r="C129" s="462"/>
      <c r="D129" s="437"/>
      <c r="E129" s="481">
        <v>2</v>
      </c>
      <c r="F129" s="482">
        <v>3</v>
      </c>
      <c r="G129" s="482">
        <v>12</v>
      </c>
      <c r="H129" s="484" t="s">
        <v>142</v>
      </c>
      <c r="I129" s="575" t="s">
        <v>1116</v>
      </c>
      <c r="J129" s="466">
        <f t="shared" si="39"/>
        <v>175000000</v>
      </c>
      <c r="K129" s="527" t="s">
        <v>1122</v>
      </c>
      <c r="L129" s="467" t="s">
        <v>21</v>
      </c>
      <c r="M129" s="466">
        <v>0</v>
      </c>
      <c r="N129" s="466">
        <v>0</v>
      </c>
      <c r="O129" s="466">
        <v>0</v>
      </c>
      <c r="P129" s="466">
        <v>0</v>
      </c>
      <c r="Q129" s="466">
        <v>0</v>
      </c>
      <c r="R129" s="565">
        <v>175000000</v>
      </c>
      <c r="S129" s="466">
        <v>0</v>
      </c>
      <c r="T129" s="466">
        <v>0</v>
      </c>
      <c r="U129" s="466">
        <v>0</v>
      </c>
      <c r="V129" s="466">
        <v>0</v>
      </c>
    </row>
    <row r="130" spans="1:22" s="468" customFormat="1" ht="43.5" customHeight="1">
      <c r="A130" s="462"/>
      <c r="B130" s="462"/>
      <c r="C130" s="462"/>
      <c r="D130" s="437"/>
      <c r="E130" s="481">
        <v>2</v>
      </c>
      <c r="F130" s="482">
        <v>3</v>
      </c>
      <c r="G130" s="482" t="s">
        <v>1060</v>
      </c>
      <c r="H130" s="484" t="s">
        <v>921</v>
      </c>
      <c r="I130" s="575" t="s">
        <v>1116</v>
      </c>
      <c r="J130" s="466">
        <f t="shared" si="39"/>
        <v>170000000</v>
      </c>
      <c r="K130" s="527" t="s">
        <v>1122</v>
      </c>
      <c r="L130" s="467" t="s">
        <v>21</v>
      </c>
      <c r="M130" s="466">
        <v>0</v>
      </c>
      <c r="N130" s="466">
        <v>0</v>
      </c>
      <c r="O130" s="466">
        <v>0</v>
      </c>
      <c r="P130" s="466">
        <v>0</v>
      </c>
      <c r="Q130" s="466">
        <v>0</v>
      </c>
      <c r="R130" s="565">
        <f>150000000+20000000</f>
        <v>170000000</v>
      </c>
      <c r="S130" s="466">
        <v>0</v>
      </c>
      <c r="T130" s="466">
        <v>0</v>
      </c>
      <c r="U130" s="466">
        <v>0</v>
      </c>
      <c r="V130" s="466">
        <v>0</v>
      </c>
    </row>
    <row r="131" spans="1:22" s="468" customFormat="1" ht="43.5" customHeight="1">
      <c r="A131" s="462"/>
      <c r="B131" s="462"/>
      <c r="C131" s="462"/>
      <c r="D131" s="437"/>
      <c r="E131" s="481">
        <v>2</v>
      </c>
      <c r="F131" s="482">
        <v>3</v>
      </c>
      <c r="G131" s="482" t="s">
        <v>1061</v>
      </c>
      <c r="H131" s="484" t="s">
        <v>1062</v>
      </c>
      <c r="I131" s="575" t="s">
        <v>1116</v>
      </c>
      <c r="J131" s="466">
        <f t="shared" si="39"/>
        <v>55000000</v>
      </c>
      <c r="K131" s="527" t="s">
        <v>1122</v>
      </c>
      <c r="L131" s="467" t="s">
        <v>21</v>
      </c>
      <c r="M131" s="466">
        <v>0</v>
      </c>
      <c r="N131" s="466">
        <v>0</v>
      </c>
      <c r="O131" s="466">
        <v>0</v>
      </c>
      <c r="P131" s="466">
        <v>0</v>
      </c>
      <c r="Q131" s="466">
        <v>0</v>
      </c>
      <c r="R131" s="466"/>
      <c r="S131" s="466">
        <v>0</v>
      </c>
      <c r="T131" s="466">
        <v>0</v>
      </c>
      <c r="U131" s="466">
        <f>85000000-30000000</f>
        <v>55000000</v>
      </c>
      <c r="V131" s="466">
        <v>0</v>
      </c>
    </row>
    <row r="132" spans="1:22" s="475" customFormat="1" ht="27" customHeight="1">
      <c r="A132" s="469"/>
      <c r="B132" s="469"/>
      <c r="C132" s="469"/>
      <c r="D132" s="502"/>
      <c r="E132" s="511">
        <v>2</v>
      </c>
      <c r="F132" s="503">
        <v>3</v>
      </c>
      <c r="G132" s="503" t="s">
        <v>1030</v>
      </c>
      <c r="H132" s="512" t="s">
        <v>1063</v>
      </c>
      <c r="I132" s="577"/>
      <c r="J132" s="466">
        <f t="shared" si="39"/>
        <v>0</v>
      </c>
      <c r="K132" s="527"/>
      <c r="L132" s="467" t="s">
        <v>21</v>
      </c>
      <c r="M132" s="473">
        <v>0</v>
      </c>
      <c r="N132" s="473">
        <v>0</v>
      </c>
      <c r="O132" s="473">
        <v>0</v>
      </c>
      <c r="P132" s="473">
        <v>0</v>
      </c>
      <c r="Q132" s="473">
        <v>0</v>
      </c>
      <c r="R132" s="473">
        <v>0</v>
      </c>
      <c r="S132" s="473">
        <v>0</v>
      </c>
      <c r="T132" s="473">
        <v>0</v>
      </c>
      <c r="U132" s="473">
        <v>0</v>
      </c>
      <c r="V132" s="473">
        <v>0</v>
      </c>
    </row>
    <row r="133" spans="1:22" s="420" customFormat="1" ht="32.25" customHeight="1">
      <c r="A133" s="496"/>
      <c r="B133" s="496"/>
      <c r="C133" s="496"/>
      <c r="D133" s="497"/>
      <c r="E133" s="508">
        <v>2</v>
      </c>
      <c r="F133" s="499">
        <v>4</v>
      </c>
      <c r="G133" s="499"/>
      <c r="H133" s="509" t="s">
        <v>1064</v>
      </c>
      <c r="I133" s="498"/>
      <c r="J133" s="447">
        <f>SUM(J134:J135)</f>
        <v>104000000</v>
      </c>
      <c r="K133" s="448"/>
      <c r="L133" s="448" t="s">
        <v>21</v>
      </c>
      <c r="M133" s="447">
        <f>SUM(M134:M135)</f>
        <v>0</v>
      </c>
      <c r="N133" s="447">
        <f t="shared" ref="N133:U133" si="40">SUM(N134:N135)</f>
        <v>0</v>
      </c>
      <c r="O133" s="447">
        <f t="shared" si="40"/>
        <v>0</v>
      </c>
      <c r="P133" s="447">
        <f t="shared" si="40"/>
        <v>0</v>
      </c>
      <c r="Q133" s="447">
        <f t="shared" si="40"/>
        <v>0</v>
      </c>
      <c r="R133" s="447">
        <f t="shared" si="40"/>
        <v>104000000</v>
      </c>
      <c r="S133" s="447">
        <f t="shared" si="40"/>
        <v>0</v>
      </c>
      <c r="T133" s="447">
        <f t="shared" si="40"/>
        <v>0</v>
      </c>
      <c r="U133" s="447">
        <f t="shared" si="40"/>
        <v>0</v>
      </c>
      <c r="V133" s="447">
        <f t="shared" ref="V133" si="41">SUM(V135:V135)</f>
        <v>0</v>
      </c>
    </row>
    <row r="134" spans="1:22" s="423" customFormat="1" ht="36" customHeight="1">
      <c r="A134" s="427"/>
      <c r="B134" s="427"/>
      <c r="C134" s="427"/>
      <c r="D134" s="437"/>
      <c r="E134" s="481">
        <v>2</v>
      </c>
      <c r="F134" s="482">
        <v>4</v>
      </c>
      <c r="G134" s="510">
        <v>1</v>
      </c>
      <c r="H134" s="513" t="s">
        <v>150</v>
      </c>
      <c r="I134" s="575" t="s">
        <v>1116</v>
      </c>
      <c r="J134" s="466">
        <f>SUM(L134:V134)</f>
        <v>30000000</v>
      </c>
      <c r="K134" s="527" t="s">
        <v>1122</v>
      </c>
      <c r="L134" s="467" t="s">
        <v>21</v>
      </c>
      <c r="M134" s="440">
        <v>0</v>
      </c>
      <c r="N134" s="440">
        <v>0</v>
      </c>
      <c r="O134" s="440">
        <v>0</v>
      </c>
      <c r="P134" s="440">
        <v>0</v>
      </c>
      <c r="Q134" s="440">
        <v>0</v>
      </c>
      <c r="R134" s="566">
        <v>30000000</v>
      </c>
      <c r="S134" s="440">
        <v>0</v>
      </c>
      <c r="T134" s="440">
        <v>0</v>
      </c>
      <c r="U134" s="440">
        <v>0</v>
      </c>
      <c r="V134" s="440">
        <v>0</v>
      </c>
    </row>
    <row r="135" spans="1:22" s="423" customFormat="1" ht="36" customHeight="1">
      <c r="A135" s="427"/>
      <c r="B135" s="427"/>
      <c r="C135" s="427"/>
      <c r="D135" s="437"/>
      <c r="E135" s="481">
        <v>2</v>
      </c>
      <c r="F135" s="482">
        <v>4</v>
      </c>
      <c r="G135" s="510" t="s">
        <v>1042</v>
      </c>
      <c r="H135" s="513" t="s">
        <v>1065</v>
      </c>
      <c r="I135" s="575" t="s">
        <v>1117</v>
      </c>
      <c r="J135" s="466">
        <f>SUM(L135:V135)</f>
        <v>74000000</v>
      </c>
      <c r="K135" s="527" t="s">
        <v>1122</v>
      </c>
      <c r="L135" s="467" t="s">
        <v>21</v>
      </c>
      <c r="M135" s="440">
        <v>0</v>
      </c>
      <c r="N135" s="440">
        <v>0</v>
      </c>
      <c r="O135" s="440">
        <v>0</v>
      </c>
      <c r="P135" s="440">
        <v>0</v>
      </c>
      <c r="Q135" s="440">
        <v>0</v>
      </c>
      <c r="R135" s="440">
        <v>74000000</v>
      </c>
      <c r="S135" s="440">
        <v>0</v>
      </c>
      <c r="T135" s="440">
        <v>0</v>
      </c>
      <c r="U135" s="440">
        <v>0</v>
      </c>
      <c r="V135" s="440">
        <v>0</v>
      </c>
    </row>
    <row r="136" spans="1:22" s="517" customFormat="1" ht="27.95" customHeight="1">
      <c r="A136" s="514"/>
      <c r="B136" s="514"/>
      <c r="C136" s="514"/>
      <c r="D136" s="444"/>
      <c r="E136" s="444">
        <v>2</v>
      </c>
      <c r="F136" s="507">
        <v>6</v>
      </c>
      <c r="G136" s="499"/>
      <c r="H136" s="515" t="s">
        <v>1066</v>
      </c>
      <c r="I136" s="498"/>
      <c r="J136" s="516">
        <f>SUM(J137:J138)</f>
        <v>8050000</v>
      </c>
      <c r="K136" s="448"/>
      <c r="L136" s="448" t="s">
        <v>21</v>
      </c>
      <c r="M136" s="516">
        <f t="shared" ref="M136:V136" si="42">SUM(M137:M138)</f>
        <v>0</v>
      </c>
      <c r="N136" s="516">
        <f t="shared" si="42"/>
        <v>0</v>
      </c>
      <c r="O136" s="516">
        <f t="shared" si="42"/>
        <v>0</v>
      </c>
      <c r="P136" s="516">
        <f t="shared" si="42"/>
        <v>0</v>
      </c>
      <c r="Q136" s="516">
        <f t="shared" si="42"/>
        <v>0</v>
      </c>
      <c r="R136" s="516">
        <f t="shared" si="42"/>
        <v>8050000</v>
      </c>
      <c r="S136" s="516">
        <f t="shared" si="42"/>
        <v>0</v>
      </c>
      <c r="T136" s="516">
        <f t="shared" si="42"/>
        <v>0</v>
      </c>
      <c r="U136" s="516">
        <f t="shared" si="42"/>
        <v>0</v>
      </c>
      <c r="V136" s="516">
        <f t="shared" si="42"/>
        <v>0</v>
      </c>
    </row>
    <row r="137" spans="1:22" s="522" customFormat="1" ht="53.25" customHeight="1">
      <c r="A137" s="518"/>
      <c r="B137" s="518"/>
      <c r="C137" s="518"/>
      <c r="D137" s="437"/>
      <c r="E137" s="437">
        <v>2</v>
      </c>
      <c r="F137" s="519">
        <v>6</v>
      </c>
      <c r="G137" s="510" t="s">
        <v>966</v>
      </c>
      <c r="H137" s="484" t="s">
        <v>28</v>
      </c>
      <c r="I137" s="575" t="s">
        <v>1116</v>
      </c>
      <c r="J137" s="520">
        <f>SUM(L137:V137)</f>
        <v>8050000</v>
      </c>
      <c r="K137" s="527" t="s">
        <v>1122</v>
      </c>
      <c r="L137" s="467" t="s">
        <v>21</v>
      </c>
      <c r="M137" s="521">
        <v>0</v>
      </c>
      <c r="N137" s="521">
        <v>0</v>
      </c>
      <c r="O137" s="521">
        <v>0</v>
      </c>
      <c r="P137" s="521">
        <v>0</v>
      </c>
      <c r="Q137" s="521">
        <v>0</v>
      </c>
      <c r="R137" s="521">
        <v>8050000</v>
      </c>
      <c r="S137" s="521">
        <v>0</v>
      </c>
      <c r="T137" s="521">
        <v>0</v>
      </c>
      <c r="U137" s="521">
        <v>0</v>
      </c>
      <c r="V137" s="521">
        <v>0</v>
      </c>
    </row>
    <row r="138" spans="1:22" s="522" customFormat="1" ht="27.95" customHeight="1">
      <c r="A138" s="518"/>
      <c r="B138" s="518"/>
      <c r="C138" s="518"/>
      <c r="D138" s="437"/>
      <c r="E138" s="437">
        <v>2</v>
      </c>
      <c r="F138" s="519">
        <v>6</v>
      </c>
      <c r="G138" s="510" t="s">
        <v>1030</v>
      </c>
      <c r="H138" s="495" t="s">
        <v>1067</v>
      </c>
      <c r="I138" s="576"/>
      <c r="J138" s="520">
        <f>SUM(L138:V138)</f>
        <v>0</v>
      </c>
      <c r="K138" s="527"/>
      <c r="L138" s="467"/>
      <c r="M138" s="523">
        <v>0</v>
      </c>
      <c r="N138" s="523">
        <v>0</v>
      </c>
      <c r="O138" s="523">
        <v>0</v>
      </c>
      <c r="P138" s="523">
        <v>0</v>
      </c>
      <c r="Q138" s="523">
        <v>0</v>
      </c>
      <c r="R138" s="523">
        <v>0</v>
      </c>
      <c r="S138" s="523">
        <v>0</v>
      </c>
      <c r="T138" s="523">
        <v>0</v>
      </c>
      <c r="U138" s="523">
        <v>0</v>
      </c>
      <c r="V138" s="523">
        <v>0</v>
      </c>
    </row>
    <row r="139" spans="1:22" s="420" customFormat="1" ht="27" customHeight="1">
      <c r="A139" s="496"/>
      <c r="B139" s="496"/>
      <c r="C139" s="496"/>
      <c r="D139" s="444"/>
      <c r="E139" s="444">
        <v>2</v>
      </c>
      <c r="F139" s="507">
        <v>8</v>
      </c>
      <c r="G139" s="499"/>
      <c r="H139" s="515" t="s">
        <v>29</v>
      </c>
      <c r="I139" s="498"/>
      <c r="J139" s="447">
        <f>SUM(J140:J141)</f>
        <v>5000000</v>
      </c>
      <c r="K139" s="448"/>
      <c r="L139" s="448" t="s">
        <v>21</v>
      </c>
      <c r="M139" s="447">
        <f t="shared" ref="M139:V139" si="43">SUM(M140:M141)</f>
        <v>0</v>
      </c>
      <c r="N139" s="447">
        <f t="shared" si="43"/>
        <v>0</v>
      </c>
      <c r="O139" s="447">
        <f t="shared" si="43"/>
        <v>0</v>
      </c>
      <c r="P139" s="447">
        <f t="shared" si="43"/>
        <v>0</v>
      </c>
      <c r="Q139" s="447">
        <f t="shared" si="43"/>
        <v>0</v>
      </c>
      <c r="R139" s="447">
        <f t="shared" si="43"/>
        <v>5000000</v>
      </c>
      <c r="S139" s="447">
        <f t="shared" si="43"/>
        <v>0</v>
      </c>
      <c r="T139" s="447">
        <f t="shared" si="43"/>
        <v>0</v>
      </c>
      <c r="U139" s="447">
        <f t="shared" si="43"/>
        <v>0</v>
      </c>
      <c r="V139" s="447">
        <f t="shared" si="43"/>
        <v>0</v>
      </c>
    </row>
    <row r="140" spans="1:22" s="423" customFormat="1" ht="42" customHeight="1">
      <c r="A140" s="427"/>
      <c r="B140" s="427"/>
      <c r="C140" s="427"/>
      <c r="D140" s="437"/>
      <c r="E140" s="437">
        <v>2</v>
      </c>
      <c r="F140" s="519">
        <v>8</v>
      </c>
      <c r="G140" s="510" t="s">
        <v>925</v>
      </c>
      <c r="H140" s="483" t="s">
        <v>161</v>
      </c>
      <c r="I140" s="575" t="s">
        <v>1116</v>
      </c>
      <c r="J140" s="440">
        <f>SUM(L140:V140)</f>
        <v>5000000</v>
      </c>
      <c r="K140" s="527" t="s">
        <v>1122</v>
      </c>
      <c r="L140" s="467" t="s">
        <v>914</v>
      </c>
      <c r="M140" s="440">
        <v>0</v>
      </c>
      <c r="N140" s="440">
        <v>0</v>
      </c>
      <c r="O140" s="440">
        <v>0</v>
      </c>
      <c r="P140" s="440">
        <v>0</v>
      </c>
      <c r="Q140" s="440">
        <v>0</v>
      </c>
      <c r="R140" s="440">
        <v>5000000</v>
      </c>
      <c r="S140" s="440"/>
      <c r="T140" s="440">
        <v>0</v>
      </c>
      <c r="U140" s="440">
        <v>0</v>
      </c>
      <c r="V140" s="440">
        <v>0</v>
      </c>
    </row>
    <row r="141" spans="1:22" s="423" customFormat="1" ht="27" customHeight="1">
      <c r="A141" s="427"/>
      <c r="B141" s="427"/>
      <c r="C141" s="427"/>
      <c r="D141" s="437"/>
      <c r="E141" s="437">
        <v>2</v>
      </c>
      <c r="F141" s="519">
        <v>8</v>
      </c>
      <c r="G141" s="510" t="s">
        <v>1030</v>
      </c>
      <c r="H141" s="524" t="s">
        <v>1068</v>
      </c>
      <c r="I141" s="424"/>
      <c r="J141" s="440">
        <f>SUM(L141:V141)</f>
        <v>0</v>
      </c>
      <c r="K141" s="527"/>
      <c r="L141" s="467"/>
      <c r="M141" s="440">
        <v>0</v>
      </c>
      <c r="N141" s="440">
        <v>0</v>
      </c>
      <c r="O141" s="440">
        <v>0</v>
      </c>
      <c r="P141" s="440">
        <v>0</v>
      </c>
      <c r="Q141" s="440">
        <v>0</v>
      </c>
      <c r="R141" s="440">
        <v>0</v>
      </c>
      <c r="S141" s="440">
        <v>0</v>
      </c>
      <c r="T141" s="440">
        <v>0</v>
      </c>
      <c r="U141" s="440">
        <v>0</v>
      </c>
      <c r="V141" s="440">
        <v>0</v>
      </c>
    </row>
    <row r="142" spans="1:22" s="420" customFormat="1" ht="52.5" customHeight="1">
      <c r="A142" s="450"/>
      <c r="B142" s="450"/>
      <c r="C142" s="450"/>
      <c r="D142" s="505"/>
      <c r="E142" s="451">
        <v>3</v>
      </c>
      <c r="F142" s="506"/>
      <c r="G142" s="506"/>
      <c r="H142" s="452" t="s">
        <v>1069</v>
      </c>
      <c r="I142" s="451"/>
      <c r="J142" s="453">
        <f>J143+J148+J156+J160</f>
        <v>55557500</v>
      </c>
      <c r="K142" s="538"/>
      <c r="L142" s="454" t="s">
        <v>321</v>
      </c>
      <c r="M142" s="453">
        <f t="shared" ref="M142:V142" si="44">M143+M148+M156+M160</f>
        <v>0</v>
      </c>
      <c r="N142" s="453">
        <f t="shared" si="44"/>
        <v>0</v>
      </c>
      <c r="O142" s="453">
        <f t="shared" si="44"/>
        <v>0</v>
      </c>
      <c r="P142" s="453">
        <f t="shared" si="44"/>
        <v>2250000</v>
      </c>
      <c r="Q142" s="453">
        <f t="shared" si="44"/>
        <v>1500000</v>
      </c>
      <c r="R142" s="453">
        <f t="shared" si="44"/>
        <v>0</v>
      </c>
      <c r="S142" s="453">
        <f t="shared" si="44"/>
        <v>2000000</v>
      </c>
      <c r="T142" s="453">
        <f t="shared" si="44"/>
        <v>49807500</v>
      </c>
      <c r="U142" s="453">
        <f t="shared" si="44"/>
        <v>0</v>
      </c>
      <c r="V142" s="453">
        <f t="shared" si="44"/>
        <v>0</v>
      </c>
    </row>
    <row r="143" spans="1:22" s="436" customFormat="1" ht="19.5" customHeight="1">
      <c r="A143" s="525"/>
      <c r="B143" s="456"/>
      <c r="C143" s="456"/>
      <c r="D143" s="497"/>
      <c r="E143" s="457">
        <v>3</v>
      </c>
      <c r="F143" s="458">
        <v>1</v>
      </c>
      <c r="G143" s="458"/>
      <c r="H143" s="459" t="s">
        <v>1070</v>
      </c>
      <c r="I143" s="444"/>
      <c r="J143" s="460">
        <f>SUM(J144:J147)</f>
        <v>19075000</v>
      </c>
      <c r="K143" s="448"/>
      <c r="L143" s="460">
        <f t="shared" ref="L143:V143" si="45">SUM(L144:L147)</f>
        <v>0</v>
      </c>
      <c r="M143" s="460">
        <f t="shared" si="45"/>
        <v>0</v>
      </c>
      <c r="N143" s="460">
        <f t="shared" si="45"/>
        <v>0</v>
      </c>
      <c r="O143" s="460">
        <f t="shared" si="45"/>
        <v>0</v>
      </c>
      <c r="P143" s="460">
        <f t="shared" si="45"/>
        <v>0</v>
      </c>
      <c r="Q143" s="460">
        <f t="shared" si="45"/>
        <v>0</v>
      </c>
      <c r="R143" s="460">
        <f t="shared" si="45"/>
        <v>0</v>
      </c>
      <c r="S143" s="460">
        <f t="shared" si="45"/>
        <v>0</v>
      </c>
      <c r="T143" s="460">
        <f>SUM(T144:T147)</f>
        <v>19075000</v>
      </c>
      <c r="U143" s="460">
        <f t="shared" si="45"/>
        <v>0</v>
      </c>
      <c r="V143" s="460">
        <f t="shared" si="45"/>
        <v>0</v>
      </c>
    </row>
    <row r="144" spans="1:22" s="423" customFormat="1" ht="36.75" customHeight="1">
      <c r="A144" s="427"/>
      <c r="B144" s="427"/>
      <c r="C144" s="427"/>
      <c r="D144" s="437">
        <v>5</v>
      </c>
      <c r="E144" s="526">
        <v>3</v>
      </c>
      <c r="F144" s="510">
        <v>1</v>
      </c>
      <c r="G144" s="510" t="s">
        <v>966</v>
      </c>
      <c r="H144" s="484" t="s">
        <v>1071</v>
      </c>
      <c r="I144" s="575" t="s">
        <v>1116</v>
      </c>
      <c r="J144" s="440">
        <f>SUM(L144:V144)</f>
        <v>3175000</v>
      </c>
      <c r="K144" s="527" t="s">
        <v>1122</v>
      </c>
      <c r="L144" s="527" t="s">
        <v>31</v>
      </c>
      <c r="M144" s="440">
        <v>0</v>
      </c>
      <c r="N144" s="440">
        <v>0</v>
      </c>
      <c r="O144" s="440">
        <v>0</v>
      </c>
      <c r="P144" s="440">
        <v>0</v>
      </c>
      <c r="Q144" s="440">
        <v>0</v>
      </c>
      <c r="R144" s="440">
        <v>0</v>
      </c>
      <c r="S144" s="440">
        <v>0</v>
      </c>
      <c r="T144" s="440">
        <v>3175000</v>
      </c>
      <c r="U144" s="440">
        <v>0</v>
      </c>
      <c r="V144" s="440">
        <v>0</v>
      </c>
    </row>
    <row r="145" spans="1:22" s="423" customFormat="1" ht="36.75" customHeight="1">
      <c r="A145" s="427"/>
      <c r="B145" s="427"/>
      <c r="C145" s="427"/>
      <c r="D145" s="437">
        <v>5</v>
      </c>
      <c r="E145" s="526">
        <v>3</v>
      </c>
      <c r="F145" s="510">
        <v>1</v>
      </c>
      <c r="G145" s="510" t="s">
        <v>925</v>
      </c>
      <c r="H145" s="484" t="s">
        <v>171</v>
      </c>
      <c r="I145" s="575" t="s">
        <v>1116</v>
      </c>
      <c r="J145" s="440">
        <f>SUM(L145:V145)</f>
        <v>4000000</v>
      </c>
      <c r="K145" s="527" t="s">
        <v>1122</v>
      </c>
      <c r="L145" s="527" t="s">
        <v>31</v>
      </c>
      <c r="M145" s="440">
        <v>0</v>
      </c>
      <c r="N145" s="440">
        <v>0</v>
      </c>
      <c r="O145" s="440">
        <v>0</v>
      </c>
      <c r="P145" s="440">
        <v>0</v>
      </c>
      <c r="Q145" s="440">
        <v>0</v>
      </c>
      <c r="R145" s="440">
        <v>0</v>
      </c>
      <c r="S145" s="440">
        <v>0</v>
      </c>
      <c r="T145" s="440">
        <f>4*1000000</f>
        <v>4000000</v>
      </c>
      <c r="U145" s="440"/>
      <c r="V145" s="440">
        <v>0</v>
      </c>
    </row>
    <row r="146" spans="1:22" s="423" customFormat="1" ht="36.75" customHeight="1">
      <c r="A146" s="427"/>
      <c r="B146" s="427"/>
      <c r="C146" s="427"/>
      <c r="D146" s="437">
        <v>5</v>
      </c>
      <c r="E146" s="526">
        <v>3</v>
      </c>
      <c r="F146" s="510">
        <v>1</v>
      </c>
      <c r="G146" s="510" t="s">
        <v>319</v>
      </c>
      <c r="H146" s="484" t="s">
        <v>320</v>
      </c>
      <c r="I146" s="575" t="s">
        <v>1116</v>
      </c>
      <c r="J146" s="440">
        <f>SUM(L146:V146)</f>
        <v>3500000</v>
      </c>
      <c r="K146" s="527" t="s">
        <v>1122</v>
      </c>
      <c r="L146" s="527" t="s">
        <v>31</v>
      </c>
      <c r="M146" s="440">
        <v>0</v>
      </c>
      <c r="N146" s="440">
        <v>0</v>
      </c>
      <c r="O146" s="440">
        <v>0</v>
      </c>
      <c r="P146" s="440">
        <v>0</v>
      </c>
      <c r="Q146" s="440">
        <v>0</v>
      </c>
      <c r="R146" s="440">
        <v>0</v>
      </c>
      <c r="S146" s="440">
        <v>0</v>
      </c>
      <c r="T146" s="440">
        <v>3500000</v>
      </c>
      <c r="U146" s="440">
        <v>0</v>
      </c>
      <c r="V146" s="440">
        <v>0</v>
      </c>
    </row>
    <row r="147" spans="1:22" s="423" customFormat="1" ht="36.75" customHeight="1">
      <c r="A147" s="427"/>
      <c r="B147" s="427"/>
      <c r="C147" s="427"/>
      <c r="D147" s="437">
        <v>5</v>
      </c>
      <c r="E147" s="526">
        <v>3</v>
      </c>
      <c r="F147" s="510">
        <v>1</v>
      </c>
      <c r="G147" s="510" t="s">
        <v>1038</v>
      </c>
      <c r="H147" s="484" t="s">
        <v>1114</v>
      </c>
      <c r="I147" s="575" t="s">
        <v>1116</v>
      </c>
      <c r="J147" s="440">
        <f>SUM(L147:V147)</f>
        <v>8400000</v>
      </c>
      <c r="K147" s="527" t="s">
        <v>1122</v>
      </c>
      <c r="L147" s="527" t="s">
        <v>31</v>
      </c>
      <c r="M147" s="440">
        <v>0</v>
      </c>
      <c r="N147" s="440">
        <v>0</v>
      </c>
      <c r="O147" s="440">
        <v>0</v>
      </c>
      <c r="P147" s="440">
        <v>0</v>
      </c>
      <c r="Q147" s="440">
        <v>0</v>
      </c>
      <c r="R147" s="440">
        <v>0</v>
      </c>
      <c r="S147" s="440">
        <v>0</v>
      </c>
      <c r="T147" s="440">
        <f>2*14*300000</f>
        <v>8400000</v>
      </c>
      <c r="U147" s="440"/>
      <c r="V147" s="440">
        <v>0</v>
      </c>
    </row>
    <row r="148" spans="1:22" s="420" customFormat="1" ht="25.5" customHeight="1">
      <c r="A148" s="496"/>
      <c r="B148" s="496"/>
      <c r="C148" s="496"/>
      <c r="D148" s="444"/>
      <c r="E148" s="444">
        <v>3</v>
      </c>
      <c r="F148" s="507">
        <v>2</v>
      </c>
      <c r="G148" s="499"/>
      <c r="H148" s="528" t="s">
        <v>176</v>
      </c>
      <c r="I148" s="569"/>
      <c r="J148" s="447">
        <f>SUM(J149:J155)</f>
        <v>25250000</v>
      </c>
      <c r="K148" s="448"/>
      <c r="L148" s="448" t="s">
        <v>31</v>
      </c>
      <c r="M148" s="447">
        <f t="shared" ref="M148:V148" si="46">SUM(M149:M155)</f>
        <v>0</v>
      </c>
      <c r="N148" s="447">
        <f t="shared" si="46"/>
        <v>0</v>
      </c>
      <c r="O148" s="447">
        <f t="shared" si="46"/>
        <v>0</v>
      </c>
      <c r="P148" s="447">
        <f t="shared" si="46"/>
        <v>0</v>
      </c>
      <c r="Q148" s="447">
        <f t="shared" si="46"/>
        <v>0</v>
      </c>
      <c r="R148" s="447">
        <f t="shared" si="46"/>
        <v>0</v>
      </c>
      <c r="S148" s="447">
        <f t="shared" si="46"/>
        <v>0</v>
      </c>
      <c r="T148" s="447">
        <f>SUM(T149:T155)</f>
        <v>25250000</v>
      </c>
      <c r="U148" s="447">
        <f t="shared" si="46"/>
        <v>0</v>
      </c>
      <c r="V148" s="447">
        <f t="shared" si="46"/>
        <v>0</v>
      </c>
    </row>
    <row r="149" spans="1:22" s="534" customFormat="1" ht="51" customHeight="1">
      <c r="A149" s="529"/>
      <c r="B149" s="529"/>
      <c r="C149" s="529"/>
      <c r="D149" s="502"/>
      <c r="E149" s="502">
        <v>3</v>
      </c>
      <c r="F149" s="530">
        <v>2</v>
      </c>
      <c r="G149" s="531" t="s">
        <v>960</v>
      </c>
      <c r="H149" s="504" t="s">
        <v>177</v>
      </c>
      <c r="I149" s="575" t="s">
        <v>1116</v>
      </c>
      <c r="J149" s="532">
        <f t="shared" ref="J149:J155" si="47">SUM(L149:V149)</f>
        <v>5000000</v>
      </c>
      <c r="K149" s="527" t="s">
        <v>1122</v>
      </c>
      <c r="L149" s="533" t="s">
        <v>31</v>
      </c>
      <c r="M149" s="532"/>
      <c r="N149" s="532">
        <v>0</v>
      </c>
      <c r="O149" s="532">
        <v>0</v>
      </c>
      <c r="P149" s="532">
        <v>0</v>
      </c>
      <c r="Q149" s="532">
        <v>0</v>
      </c>
      <c r="R149" s="532">
        <v>0</v>
      </c>
      <c r="S149" s="532"/>
      <c r="T149" s="532">
        <v>5000000</v>
      </c>
      <c r="U149" s="532">
        <v>0</v>
      </c>
      <c r="V149" s="532">
        <v>0</v>
      </c>
    </row>
    <row r="150" spans="1:22" s="423" customFormat="1" ht="51" customHeight="1">
      <c r="A150" s="427"/>
      <c r="B150" s="427"/>
      <c r="C150" s="427"/>
      <c r="D150" s="437"/>
      <c r="E150" s="437">
        <v>3</v>
      </c>
      <c r="F150" s="519">
        <v>2</v>
      </c>
      <c r="G150" s="510" t="s">
        <v>968</v>
      </c>
      <c r="H150" s="484" t="s">
        <v>1072</v>
      </c>
      <c r="I150" s="575" t="s">
        <v>1116</v>
      </c>
      <c r="J150" s="440">
        <f t="shared" si="47"/>
        <v>5000000</v>
      </c>
      <c r="K150" s="527" t="s">
        <v>1122</v>
      </c>
      <c r="L150" s="527" t="s">
        <v>321</v>
      </c>
      <c r="M150" s="440"/>
      <c r="N150" s="440">
        <v>0</v>
      </c>
      <c r="O150" s="440">
        <v>0</v>
      </c>
      <c r="P150" s="440">
        <v>0</v>
      </c>
      <c r="Q150" s="440">
        <v>0</v>
      </c>
      <c r="R150" s="440">
        <v>0</v>
      </c>
      <c r="S150" s="440"/>
      <c r="T150" s="440">
        <v>5000000</v>
      </c>
      <c r="U150" s="440">
        <v>0</v>
      </c>
      <c r="V150" s="440">
        <v>0</v>
      </c>
    </row>
    <row r="151" spans="1:22" s="423" customFormat="1" ht="47.25" customHeight="1">
      <c r="A151" s="427"/>
      <c r="B151" s="427"/>
      <c r="C151" s="427"/>
      <c r="D151" s="437"/>
      <c r="E151" s="437">
        <v>3</v>
      </c>
      <c r="F151" s="519">
        <v>2</v>
      </c>
      <c r="G151" s="510" t="s">
        <v>970</v>
      </c>
      <c r="H151" s="484" t="s">
        <v>1073</v>
      </c>
      <c r="I151" s="575" t="s">
        <v>1116</v>
      </c>
      <c r="J151" s="440">
        <f t="shared" si="47"/>
        <v>2000000</v>
      </c>
      <c r="K151" s="527" t="s">
        <v>1122</v>
      </c>
      <c r="L151" s="527" t="s">
        <v>31</v>
      </c>
      <c r="M151" s="440">
        <v>0</v>
      </c>
      <c r="N151" s="440">
        <v>0</v>
      </c>
      <c r="O151" s="440">
        <v>0</v>
      </c>
      <c r="P151" s="440">
        <v>0</v>
      </c>
      <c r="Q151" s="440">
        <v>0</v>
      </c>
      <c r="R151" s="440">
        <v>0</v>
      </c>
      <c r="S151" s="440">
        <v>0</v>
      </c>
      <c r="T151" s="440">
        <v>2000000</v>
      </c>
      <c r="U151" s="440">
        <v>0</v>
      </c>
      <c r="V151" s="440">
        <v>0</v>
      </c>
    </row>
    <row r="152" spans="1:22" s="423" customFormat="1" ht="32.1" customHeight="1">
      <c r="A152" s="427"/>
      <c r="B152" s="427"/>
      <c r="C152" s="427"/>
      <c r="D152" s="437"/>
      <c r="E152" s="437">
        <v>3</v>
      </c>
      <c r="F152" s="519">
        <v>2</v>
      </c>
      <c r="G152" s="510" t="s">
        <v>319</v>
      </c>
      <c r="H152" s="484" t="s">
        <v>59</v>
      </c>
      <c r="I152" s="575" t="s">
        <v>1118</v>
      </c>
      <c r="J152" s="440">
        <f t="shared" si="47"/>
        <v>6750000</v>
      </c>
      <c r="K152" s="527" t="s">
        <v>1122</v>
      </c>
      <c r="L152" s="527" t="s">
        <v>31</v>
      </c>
      <c r="M152" s="440">
        <v>0</v>
      </c>
      <c r="N152" s="440">
        <v>0</v>
      </c>
      <c r="O152" s="440">
        <v>0</v>
      </c>
      <c r="P152" s="440">
        <v>0</v>
      </c>
      <c r="Q152" s="440">
        <v>0</v>
      </c>
      <c r="R152" s="440">
        <v>0</v>
      </c>
      <c r="S152" s="440">
        <v>0</v>
      </c>
      <c r="T152" s="440">
        <f>27*250000</f>
        <v>6750000</v>
      </c>
      <c r="U152" s="440">
        <v>0</v>
      </c>
      <c r="V152" s="440">
        <v>0</v>
      </c>
    </row>
    <row r="153" spans="1:22" s="423" customFormat="1" ht="32.1" customHeight="1">
      <c r="A153" s="427"/>
      <c r="B153" s="427"/>
      <c r="C153" s="427"/>
      <c r="D153" s="437"/>
      <c r="E153" s="437">
        <v>3</v>
      </c>
      <c r="F153" s="519">
        <v>2</v>
      </c>
      <c r="G153" s="510" t="s">
        <v>1042</v>
      </c>
      <c r="H153" s="484" t="s">
        <v>58</v>
      </c>
      <c r="I153" s="575" t="s">
        <v>1116</v>
      </c>
      <c r="J153" s="440">
        <f t="shared" si="47"/>
        <v>4500000</v>
      </c>
      <c r="K153" s="527" t="s">
        <v>1122</v>
      </c>
      <c r="L153" s="527" t="s">
        <v>31</v>
      </c>
      <c r="M153" s="440">
        <v>0</v>
      </c>
      <c r="N153" s="440">
        <v>0</v>
      </c>
      <c r="O153" s="440">
        <v>0</v>
      </c>
      <c r="P153" s="440">
        <v>0</v>
      </c>
      <c r="Q153" s="440">
        <v>0</v>
      </c>
      <c r="R153" s="440">
        <v>0</v>
      </c>
      <c r="S153" s="440">
        <v>0</v>
      </c>
      <c r="T153" s="440">
        <v>4500000</v>
      </c>
      <c r="U153" s="440">
        <v>0</v>
      </c>
      <c r="V153" s="440">
        <v>0</v>
      </c>
    </row>
    <row r="154" spans="1:22" s="423" customFormat="1" ht="36" customHeight="1">
      <c r="A154" s="427"/>
      <c r="B154" s="427"/>
      <c r="C154" s="427"/>
      <c r="D154" s="437"/>
      <c r="E154" s="437">
        <v>3</v>
      </c>
      <c r="F154" s="519">
        <v>2</v>
      </c>
      <c r="G154" s="510" t="s">
        <v>1074</v>
      </c>
      <c r="H154" s="484" t="s">
        <v>1075</v>
      </c>
      <c r="I154" s="575" t="s">
        <v>1116</v>
      </c>
      <c r="J154" s="440">
        <f t="shared" si="47"/>
        <v>2000000</v>
      </c>
      <c r="K154" s="527" t="s">
        <v>1122</v>
      </c>
      <c r="L154" s="527" t="s">
        <v>31</v>
      </c>
      <c r="M154" s="440">
        <v>0</v>
      </c>
      <c r="N154" s="440">
        <v>0</v>
      </c>
      <c r="O154" s="440">
        <v>0</v>
      </c>
      <c r="P154" s="440">
        <v>0</v>
      </c>
      <c r="Q154" s="440">
        <v>0</v>
      </c>
      <c r="R154" s="440">
        <v>0</v>
      </c>
      <c r="S154" s="440">
        <v>0</v>
      </c>
      <c r="T154" s="440">
        <v>2000000</v>
      </c>
      <c r="U154" s="440">
        <v>0</v>
      </c>
      <c r="V154" s="440">
        <v>0</v>
      </c>
    </row>
    <row r="155" spans="1:22" s="423" customFormat="1" ht="25.5" customHeight="1">
      <c r="A155" s="427"/>
      <c r="B155" s="427"/>
      <c r="C155" s="427"/>
      <c r="D155" s="437"/>
      <c r="E155" s="437">
        <v>3</v>
      </c>
      <c r="F155" s="519">
        <v>2</v>
      </c>
      <c r="G155" s="510" t="s">
        <v>1030</v>
      </c>
      <c r="H155" s="495" t="s">
        <v>1076</v>
      </c>
      <c r="I155" s="576"/>
      <c r="J155" s="440">
        <f t="shared" si="47"/>
        <v>0</v>
      </c>
      <c r="K155" s="527"/>
      <c r="L155" s="527" t="s">
        <v>31</v>
      </c>
      <c r="M155" s="440">
        <v>0</v>
      </c>
      <c r="N155" s="440">
        <v>0</v>
      </c>
      <c r="O155" s="440">
        <v>0</v>
      </c>
      <c r="P155" s="440">
        <v>0</v>
      </c>
      <c r="Q155" s="440">
        <v>0</v>
      </c>
      <c r="R155" s="440">
        <v>0</v>
      </c>
      <c r="S155" s="440">
        <v>0</v>
      </c>
      <c r="T155" s="440">
        <v>0</v>
      </c>
      <c r="U155" s="440">
        <v>0</v>
      </c>
      <c r="V155" s="440">
        <v>0</v>
      </c>
    </row>
    <row r="156" spans="1:22" s="420" customFormat="1" ht="46.5" customHeight="1">
      <c r="A156" s="496"/>
      <c r="B156" s="496"/>
      <c r="C156" s="496"/>
      <c r="D156" s="444"/>
      <c r="E156" s="508">
        <v>3</v>
      </c>
      <c r="F156" s="507">
        <v>3</v>
      </c>
      <c r="G156" s="499"/>
      <c r="H156" s="445" t="s">
        <v>1077</v>
      </c>
      <c r="I156" s="444"/>
      <c r="J156" s="447">
        <f>SUM(J157:J159)</f>
        <v>4000000</v>
      </c>
      <c r="K156" s="448"/>
      <c r="L156" s="535" t="s">
        <v>401</v>
      </c>
      <c r="M156" s="447">
        <f t="shared" ref="M156:V156" si="48">SUM(M157:M159)</f>
        <v>0</v>
      </c>
      <c r="N156" s="447">
        <f t="shared" si="48"/>
        <v>0</v>
      </c>
      <c r="O156" s="447">
        <f t="shared" si="48"/>
        <v>0</v>
      </c>
      <c r="P156" s="447">
        <f t="shared" si="48"/>
        <v>0</v>
      </c>
      <c r="Q156" s="447">
        <f t="shared" si="48"/>
        <v>0</v>
      </c>
      <c r="R156" s="447">
        <f t="shared" si="48"/>
        <v>0</v>
      </c>
      <c r="S156" s="447">
        <f t="shared" si="48"/>
        <v>2000000</v>
      </c>
      <c r="T156" s="447">
        <f t="shared" si="48"/>
        <v>2000000</v>
      </c>
      <c r="U156" s="447">
        <f t="shared" si="48"/>
        <v>0</v>
      </c>
      <c r="V156" s="447">
        <f t="shared" si="48"/>
        <v>0</v>
      </c>
    </row>
    <row r="157" spans="1:22" s="423" customFormat="1" ht="28.5" customHeight="1">
      <c r="A157" s="427"/>
      <c r="B157" s="427"/>
      <c r="C157" s="427"/>
      <c r="D157" s="437"/>
      <c r="E157" s="526">
        <v>3</v>
      </c>
      <c r="F157" s="519">
        <v>3</v>
      </c>
      <c r="G157" s="510" t="s">
        <v>319</v>
      </c>
      <c r="H157" s="483" t="s">
        <v>189</v>
      </c>
      <c r="I157" s="575" t="s">
        <v>1116</v>
      </c>
      <c r="J157" s="440">
        <f t="shared" ref="J157:J159" si="49">SUM(L157:V157)</f>
        <v>2000000</v>
      </c>
      <c r="K157" s="527" t="s">
        <v>1122</v>
      </c>
      <c r="L157" s="527" t="s">
        <v>31</v>
      </c>
      <c r="M157" s="440">
        <v>0</v>
      </c>
      <c r="N157" s="440">
        <v>0</v>
      </c>
      <c r="O157" s="440">
        <v>0</v>
      </c>
      <c r="P157" s="440">
        <v>0</v>
      </c>
      <c r="Q157" s="440">
        <v>0</v>
      </c>
      <c r="R157" s="440">
        <v>0</v>
      </c>
      <c r="S157" s="440">
        <v>0</v>
      </c>
      <c r="T157" s="440">
        <v>2000000</v>
      </c>
      <c r="U157" s="440">
        <v>0</v>
      </c>
      <c r="V157" s="440">
        <v>0</v>
      </c>
    </row>
    <row r="158" spans="1:22" s="423" customFormat="1" ht="28.5" customHeight="1">
      <c r="A158" s="427"/>
      <c r="B158" s="427"/>
      <c r="C158" s="427"/>
      <c r="D158" s="437"/>
      <c r="E158" s="526">
        <v>3</v>
      </c>
      <c r="F158" s="519">
        <v>3</v>
      </c>
      <c r="G158" s="510" t="s">
        <v>925</v>
      </c>
      <c r="H158" s="483" t="s">
        <v>191</v>
      </c>
      <c r="I158" s="575" t="s">
        <v>1116</v>
      </c>
      <c r="J158" s="440">
        <f t="shared" si="49"/>
        <v>2000000</v>
      </c>
      <c r="K158" s="527" t="s">
        <v>1122</v>
      </c>
      <c r="L158" s="527" t="s">
        <v>9</v>
      </c>
      <c r="M158" s="440">
        <v>0</v>
      </c>
      <c r="N158" s="440">
        <v>0</v>
      </c>
      <c r="O158" s="440">
        <v>0</v>
      </c>
      <c r="P158" s="440">
        <v>0</v>
      </c>
      <c r="Q158" s="440">
        <v>0</v>
      </c>
      <c r="R158" s="440">
        <v>0</v>
      </c>
      <c r="S158" s="440">
        <v>2000000</v>
      </c>
      <c r="T158" s="440"/>
      <c r="U158" s="440">
        <v>0</v>
      </c>
      <c r="V158" s="440">
        <v>0</v>
      </c>
    </row>
    <row r="159" spans="1:22" s="423" customFormat="1" ht="29.25" customHeight="1">
      <c r="A159" s="427"/>
      <c r="B159" s="427"/>
      <c r="C159" s="427"/>
      <c r="D159" s="437"/>
      <c r="E159" s="526">
        <v>3</v>
      </c>
      <c r="F159" s="519">
        <v>3</v>
      </c>
      <c r="G159" s="510" t="s">
        <v>1030</v>
      </c>
      <c r="H159" s="495" t="s">
        <v>1078</v>
      </c>
      <c r="I159" s="575" t="s">
        <v>1116</v>
      </c>
      <c r="J159" s="440">
        <f t="shared" si="49"/>
        <v>0</v>
      </c>
      <c r="K159" s="527"/>
      <c r="L159" s="527">
        <v>0</v>
      </c>
      <c r="M159" s="440">
        <v>0</v>
      </c>
      <c r="N159" s="440">
        <v>0</v>
      </c>
      <c r="O159" s="440">
        <v>0</v>
      </c>
      <c r="P159" s="440">
        <v>0</v>
      </c>
      <c r="Q159" s="440">
        <v>0</v>
      </c>
      <c r="R159" s="440">
        <v>0</v>
      </c>
      <c r="S159" s="440">
        <v>0</v>
      </c>
      <c r="T159" s="440">
        <v>0</v>
      </c>
      <c r="U159" s="440">
        <v>0</v>
      </c>
      <c r="V159" s="440">
        <v>0</v>
      </c>
    </row>
    <row r="160" spans="1:22" s="420" customFormat="1" ht="29.25" customHeight="1">
      <c r="A160" s="496"/>
      <c r="B160" s="496"/>
      <c r="C160" s="496"/>
      <c r="D160" s="444"/>
      <c r="E160" s="508">
        <v>3</v>
      </c>
      <c r="F160" s="507">
        <v>4</v>
      </c>
      <c r="G160" s="499"/>
      <c r="H160" s="515" t="s">
        <v>193</v>
      </c>
      <c r="I160" s="498"/>
      <c r="J160" s="447">
        <f>SUM(J161:J164)</f>
        <v>7232500</v>
      </c>
      <c r="K160" s="448"/>
      <c r="L160" s="448" t="s">
        <v>31</v>
      </c>
      <c r="M160" s="447">
        <f t="shared" ref="M160:V160" si="50">SUM(M161:M164)</f>
        <v>0</v>
      </c>
      <c r="N160" s="447">
        <f t="shared" si="50"/>
        <v>0</v>
      </c>
      <c r="O160" s="447">
        <f t="shared" si="50"/>
        <v>0</v>
      </c>
      <c r="P160" s="447">
        <f t="shared" si="50"/>
        <v>2250000</v>
      </c>
      <c r="Q160" s="447">
        <f t="shared" si="50"/>
        <v>1500000</v>
      </c>
      <c r="R160" s="447">
        <f t="shared" si="50"/>
        <v>0</v>
      </c>
      <c r="S160" s="447">
        <f t="shared" si="50"/>
        <v>0</v>
      </c>
      <c r="T160" s="447">
        <f t="shared" si="50"/>
        <v>3482500</v>
      </c>
      <c r="U160" s="447">
        <f t="shared" si="50"/>
        <v>0</v>
      </c>
      <c r="V160" s="447">
        <f t="shared" si="50"/>
        <v>0</v>
      </c>
    </row>
    <row r="161" spans="1:22" s="423" customFormat="1" ht="29.25" customHeight="1">
      <c r="A161" s="427"/>
      <c r="B161" s="427"/>
      <c r="C161" s="427"/>
      <c r="D161" s="437"/>
      <c r="E161" s="526">
        <v>3</v>
      </c>
      <c r="F161" s="519">
        <v>4</v>
      </c>
      <c r="G161" s="510" t="s">
        <v>1036</v>
      </c>
      <c r="H161" s="495" t="s">
        <v>194</v>
      </c>
      <c r="I161" s="576" t="s">
        <v>910</v>
      </c>
      <c r="J161" s="440">
        <f>SUM(L161:V161)</f>
        <v>3482500</v>
      </c>
      <c r="K161" s="527" t="s">
        <v>1122</v>
      </c>
      <c r="L161" s="527" t="s">
        <v>31</v>
      </c>
      <c r="M161" s="440">
        <v>0</v>
      </c>
      <c r="N161" s="440">
        <v>0</v>
      </c>
      <c r="O161" s="440">
        <v>0</v>
      </c>
      <c r="P161" s="440">
        <v>0</v>
      </c>
      <c r="Q161" s="440">
        <v>0</v>
      </c>
      <c r="R161" s="440">
        <v>0</v>
      </c>
      <c r="S161" s="440">
        <v>0</v>
      </c>
      <c r="T161" s="440">
        <f>4000000-684800+167300</f>
        <v>3482500</v>
      </c>
      <c r="U161" s="440">
        <v>0</v>
      </c>
      <c r="V161" s="440">
        <v>0</v>
      </c>
    </row>
    <row r="162" spans="1:22" s="423" customFormat="1" ht="29.25" customHeight="1">
      <c r="A162" s="427"/>
      <c r="B162" s="427"/>
      <c r="C162" s="427"/>
      <c r="D162" s="437"/>
      <c r="E162" s="526">
        <v>3</v>
      </c>
      <c r="F162" s="519">
        <v>4</v>
      </c>
      <c r="G162" s="510" t="s">
        <v>1038</v>
      </c>
      <c r="H162" s="495" t="s">
        <v>196</v>
      </c>
      <c r="I162" s="576" t="s">
        <v>910</v>
      </c>
      <c r="J162" s="440">
        <f>SUM(L162:V162)</f>
        <v>1500000</v>
      </c>
      <c r="K162" s="527" t="s">
        <v>1122</v>
      </c>
      <c r="L162" s="527" t="s">
        <v>1079</v>
      </c>
      <c r="M162" s="440">
        <v>0</v>
      </c>
      <c r="N162" s="440">
        <v>0</v>
      </c>
      <c r="O162" s="440">
        <v>0</v>
      </c>
      <c r="P162" s="440">
        <v>0</v>
      </c>
      <c r="Q162" s="440">
        <v>1500000</v>
      </c>
      <c r="R162" s="440">
        <v>0</v>
      </c>
      <c r="S162" s="440">
        <v>0</v>
      </c>
      <c r="T162" s="440"/>
      <c r="U162" s="440">
        <v>0</v>
      </c>
      <c r="V162" s="440">
        <v>0</v>
      </c>
    </row>
    <row r="163" spans="1:22" s="423" customFormat="1" ht="29.25" customHeight="1">
      <c r="A163" s="427"/>
      <c r="B163" s="427"/>
      <c r="C163" s="427"/>
      <c r="D163" s="437"/>
      <c r="E163" s="526">
        <v>3</v>
      </c>
      <c r="F163" s="519">
        <v>4</v>
      </c>
      <c r="G163" s="510" t="s">
        <v>1080</v>
      </c>
      <c r="H163" s="495" t="s">
        <v>43</v>
      </c>
      <c r="I163" s="576" t="s">
        <v>910</v>
      </c>
      <c r="J163" s="440">
        <f>SUM(L163:V163)</f>
        <v>2250000</v>
      </c>
      <c r="K163" s="527" t="s">
        <v>1122</v>
      </c>
      <c r="L163" s="527" t="s">
        <v>46</v>
      </c>
      <c r="M163" s="440">
        <v>0</v>
      </c>
      <c r="N163" s="440">
        <v>0</v>
      </c>
      <c r="O163" s="440">
        <v>0</v>
      </c>
      <c r="P163" s="440">
        <v>2250000</v>
      </c>
      <c r="Q163" s="440">
        <v>0</v>
      </c>
      <c r="R163" s="440">
        <v>0</v>
      </c>
      <c r="S163" s="440">
        <v>0</v>
      </c>
      <c r="T163" s="440"/>
      <c r="U163" s="440">
        <v>0</v>
      </c>
      <c r="V163" s="440"/>
    </row>
    <row r="164" spans="1:22" s="423" customFormat="1" ht="29.25" customHeight="1">
      <c r="A164" s="427"/>
      <c r="B164" s="427"/>
      <c r="C164" s="427"/>
      <c r="D164" s="437"/>
      <c r="E164" s="526">
        <v>3</v>
      </c>
      <c r="F164" s="519">
        <v>4</v>
      </c>
      <c r="G164" s="510" t="s">
        <v>1030</v>
      </c>
      <c r="H164" s="495" t="s">
        <v>1081</v>
      </c>
      <c r="I164" s="576"/>
      <c r="J164" s="440">
        <f>SUM(L164:V164)</f>
        <v>0</v>
      </c>
      <c r="K164" s="527"/>
      <c r="L164" s="527"/>
      <c r="M164" s="440">
        <v>0</v>
      </c>
      <c r="N164" s="440">
        <v>0</v>
      </c>
      <c r="O164" s="440">
        <v>0</v>
      </c>
      <c r="P164" s="440">
        <v>0</v>
      </c>
      <c r="Q164" s="440">
        <v>0</v>
      </c>
      <c r="R164" s="440">
        <v>0</v>
      </c>
      <c r="S164" s="440">
        <v>0</v>
      </c>
      <c r="T164" s="440">
        <v>0</v>
      </c>
      <c r="U164" s="440">
        <v>0</v>
      </c>
      <c r="V164" s="440">
        <v>0</v>
      </c>
    </row>
    <row r="165" spans="1:22" s="420" customFormat="1" ht="29.25" customHeight="1">
      <c r="A165" s="450"/>
      <c r="B165" s="450"/>
      <c r="C165" s="450"/>
      <c r="D165" s="505"/>
      <c r="E165" s="451">
        <v>4</v>
      </c>
      <c r="F165" s="506"/>
      <c r="G165" s="506"/>
      <c r="H165" s="452" t="s">
        <v>1082</v>
      </c>
      <c r="I165" s="451"/>
      <c r="J165" s="453">
        <f t="shared" ref="J165:V165" si="51">J166+J170+J174+J183+J186</f>
        <v>63590000</v>
      </c>
      <c r="K165" s="538"/>
      <c r="L165" s="453" t="e">
        <f t="shared" si="51"/>
        <v>#VALUE!</v>
      </c>
      <c r="M165" s="453">
        <f t="shared" si="51"/>
        <v>0</v>
      </c>
      <c r="N165" s="453">
        <f t="shared" si="51"/>
        <v>0</v>
      </c>
      <c r="O165" s="453">
        <f t="shared" si="51"/>
        <v>0</v>
      </c>
      <c r="P165" s="453">
        <f t="shared" si="51"/>
        <v>0</v>
      </c>
      <c r="Q165" s="453">
        <f t="shared" si="51"/>
        <v>0</v>
      </c>
      <c r="R165" s="453">
        <f t="shared" si="51"/>
        <v>63590000</v>
      </c>
      <c r="S165" s="453">
        <f t="shared" si="51"/>
        <v>0</v>
      </c>
      <c r="T165" s="453">
        <f t="shared" si="51"/>
        <v>0</v>
      </c>
      <c r="U165" s="453">
        <f t="shared" si="51"/>
        <v>0</v>
      </c>
      <c r="V165" s="453">
        <f t="shared" si="51"/>
        <v>0</v>
      </c>
    </row>
    <row r="166" spans="1:22" s="436" customFormat="1" ht="29.25" customHeight="1">
      <c r="A166" s="456"/>
      <c r="B166" s="456"/>
      <c r="C166" s="456"/>
      <c r="D166" s="497"/>
      <c r="E166" s="457">
        <v>4</v>
      </c>
      <c r="F166" s="458">
        <v>2</v>
      </c>
      <c r="G166" s="458"/>
      <c r="H166" s="459" t="s">
        <v>200</v>
      </c>
      <c r="I166" s="444"/>
      <c r="J166" s="460">
        <f>SUM(J167:J169)</f>
        <v>11500000</v>
      </c>
      <c r="K166" s="448"/>
      <c r="L166" s="461" t="s">
        <v>21</v>
      </c>
      <c r="M166" s="460">
        <f t="shared" ref="M166:V166" si="52">SUM(M167:M169)</f>
        <v>0</v>
      </c>
      <c r="N166" s="460">
        <f t="shared" si="52"/>
        <v>0</v>
      </c>
      <c r="O166" s="460">
        <f t="shared" si="52"/>
        <v>0</v>
      </c>
      <c r="P166" s="460">
        <f t="shared" si="52"/>
        <v>0</v>
      </c>
      <c r="Q166" s="460">
        <f t="shared" si="52"/>
        <v>0</v>
      </c>
      <c r="R166" s="460">
        <f t="shared" si="52"/>
        <v>11500000</v>
      </c>
      <c r="S166" s="460">
        <f t="shared" si="52"/>
        <v>0</v>
      </c>
      <c r="T166" s="460">
        <f t="shared" si="52"/>
        <v>0</v>
      </c>
      <c r="U166" s="460">
        <f t="shared" si="52"/>
        <v>0</v>
      </c>
      <c r="V166" s="460">
        <f t="shared" si="52"/>
        <v>0</v>
      </c>
    </row>
    <row r="167" spans="1:22" s="423" customFormat="1" ht="44.1" customHeight="1">
      <c r="A167" s="427"/>
      <c r="B167" s="427"/>
      <c r="C167" s="427"/>
      <c r="D167" s="437"/>
      <c r="E167" s="526">
        <v>4</v>
      </c>
      <c r="F167" s="510">
        <v>2</v>
      </c>
      <c r="G167" s="510" t="s">
        <v>972</v>
      </c>
      <c r="H167" s="483" t="s">
        <v>33</v>
      </c>
      <c r="I167" s="575" t="s">
        <v>1116</v>
      </c>
      <c r="J167" s="440">
        <f>SUM(L167:V167)</f>
        <v>6000000</v>
      </c>
      <c r="K167" s="527" t="s">
        <v>1122</v>
      </c>
      <c r="L167" s="527" t="s">
        <v>21</v>
      </c>
      <c r="M167" s="440">
        <v>0</v>
      </c>
      <c r="N167" s="440">
        <v>0</v>
      </c>
      <c r="O167" s="440">
        <v>0</v>
      </c>
      <c r="P167" s="440">
        <v>0</v>
      </c>
      <c r="Q167" s="440">
        <v>0</v>
      </c>
      <c r="R167" s="440">
        <v>6000000</v>
      </c>
      <c r="S167" s="440">
        <v>0</v>
      </c>
      <c r="T167" s="440">
        <v>0</v>
      </c>
      <c r="U167" s="440">
        <v>0</v>
      </c>
      <c r="V167" s="440">
        <v>0</v>
      </c>
    </row>
    <row r="168" spans="1:22" s="423" customFormat="1" ht="44.1" customHeight="1">
      <c r="A168" s="427"/>
      <c r="B168" s="427"/>
      <c r="C168" s="427"/>
      <c r="D168" s="437"/>
      <c r="E168" s="526">
        <v>4</v>
      </c>
      <c r="F168" s="510">
        <v>2</v>
      </c>
      <c r="G168" s="510" t="s">
        <v>1036</v>
      </c>
      <c r="H168" s="483" t="s">
        <v>203</v>
      </c>
      <c r="I168" s="575" t="s">
        <v>1116</v>
      </c>
      <c r="J168" s="440">
        <f>SUM(L168:V168)</f>
        <v>5500000</v>
      </c>
      <c r="K168" s="527" t="s">
        <v>1122</v>
      </c>
      <c r="L168" s="527" t="s">
        <v>21</v>
      </c>
      <c r="M168" s="440">
        <v>0</v>
      </c>
      <c r="N168" s="440">
        <v>0</v>
      </c>
      <c r="O168" s="440">
        <v>0</v>
      </c>
      <c r="P168" s="440">
        <v>0</v>
      </c>
      <c r="Q168" s="440">
        <v>0</v>
      </c>
      <c r="R168" s="440">
        <v>5500000</v>
      </c>
      <c r="S168" s="440">
        <v>0</v>
      </c>
      <c r="T168" s="440">
        <v>0</v>
      </c>
      <c r="U168" s="440">
        <v>0</v>
      </c>
      <c r="V168" s="440">
        <v>0</v>
      </c>
    </row>
    <row r="169" spans="1:22" s="423" customFormat="1" ht="27.95" customHeight="1">
      <c r="A169" s="427"/>
      <c r="B169" s="427"/>
      <c r="C169" s="427"/>
      <c r="D169" s="437"/>
      <c r="E169" s="526">
        <v>4</v>
      </c>
      <c r="F169" s="510">
        <v>2</v>
      </c>
      <c r="G169" s="510" t="s">
        <v>1030</v>
      </c>
      <c r="H169" s="483" t="s">
        <v>1083</v>
      </c>
      <c r="I169" s="575"/>
      <c r="J169" s="440">
        <f>SUM(L169:V169)</f>
        <v>0</v>
      </c>
      <c r="K169" s="527"/>
      <c r="L169" s="527">
        <v>0</v>
      </c>
      <c r="M169" s="440">
        <v>0</v>
      </c>
      <c r="N169" s="440">
        <v>0</v>
      </c>
      <c r="O169" s="440">
        <v>0</v>
      </c>
      <c r="P169" s="440">
        <v>0</v>
      </c>
      <c r="Q169" s="440">
        <v>0</v>
      </c>
      <c r="R169" s="440">
        <v>0</v>
      </c>
      <c r="S169" s="440">
        <v>0</v>
      </c>
      <c r="T169" s="440">
        <v>0</v>
      </c>
      <c r="U169" s="440">
        <v>0</v>
      </c>
      <c r="V169" s="440">
        <v>0</v>
      </c>
    </row>
    <row r="170" spans="1:22" s="436" customFormat="1" ht="30" customHeight="1">
      <c r="A170" s="456"/>
      <c r="B170" s="456"/>
      <c r="C170" s="456"/>
      <c r="D170" s="497"/>
      <c r="E170" s="457">
        <v>4</v>
      </c>
      <c r="F170" s="458">
        <v>3</v>
      </c>
      <c r="G170" s="458"/>
      <c r="H170" s="459" t="s">
        <v>206</v>
      </c>
      <c r="I170" s="444"/>
      <c r="J170" s="460">
        <f>SUM(J171:J173)</f>
        <v>17000000</v>
      </c>
      <c r="K170" s="448"/>
      <c r="L170" s="461" t="s">
        <v>21</v>
      </c>
      <c r="M170" s="460">
        <f t="shared" ref="M170:V170" si="53">SUM(M171:M173)</f>
        <v>0</v>
      </c>
      <c r="N170" s="460">
        <f t="shared" si="53"/>
        <v>0</v>
      </c>
      <c r="O170" s="460">
        <f t="shared" si="53"/>
        <v>0</v>
      </c>
      <c r="P170" s="460">
        <f t="shared" si="53"/>
        <v>0</v>
      </c>
      <c r="Q170" s="460">
        <f t="shared" si="53"/>
        <v>0</v>
      </c>
      <c r="R170" s="460">
        <f t="shared" si="53"/>
        <v>17000000</v>
      </c>
      <c r="S170" s="460">
        <f t="shared" si="53"/>
        <v>0</v>
      </c>
      <c r="T170" s="460">
        <f t="shared" si="53"/>
        <v>0</v>
      </c>
      <c r="U170" s="460">
        <f t="shared" si="53"/>
        <v>0</v>
      </c>
      <c r="V170" s="460">
        <f t="shared" si="53"/>
        <v>0</v>
      </c>
    </row>
    <row r="171" spans="1:22" s="423" customFormat="1" ht="28.5" customHeight="1">
      <c r="A171" s="427"/>
      <c r="B171" s="427"/>
      <c r="C171" s="427"/>
      <c r="D171" s="437"/>
      <c r="E171" s="526">
        <v>4</v>
      </c>
      <c r="F171" s="510">
        <v>3</v>
      </c>
      <c r="G171" s="510" t="s">
        <v>960</v>
      </c>
      <c r="H171" s="483" t="s">
        <v>1084</v>
      </c>
      <c r="I171" s="575" t="s">
        <v>1116</v>
      </c>
      <c r="J171" s="440">
        <f>SUM(L171:V171)</f>
        <v>12000000</v>
      </c>
      <c r="K171" s="527" t="s">
        <v>1122</v>
      </c>
      <c r="L171" s="527" t="s">
        <v>21</v>
      </c>
      <c r="M171" s="440">
        <v>0</v>
      </c>
      <c r="N171" s="440">
        <v>0</v>
      </c>
      <c r="O171" s="440">
        <v>0</v>
      </c>
      <c r="P171" s="440">
        <v>0</v>
      </c>
      <c r="Q171" s="440">
        <v>0</v>
      </c>
      <c r="R171" s="440">
        <v>12000000</v>
      </c>
      <c r="S171" s="440">
        <v>0</v>
      </c>
      <c r="T171" s="440">
        <v>0</v>
      </c>
      <c r="U171" s="440">
        <v>0</v>
      </c>
      <c r="V171" s="440">
        <v>0</v>
      </c>
    </row>
    <row r="172" spans="1:22" s="423" customFormat="1" ht="28.5" customHeight="1">
      <c r="A172" s="427"/>
      <c r="B172" s="427"/>
      <c r="C172" s="427"/>
      <c r="D172" s="437"/>
      <c r="E172" s="526">
        <v>4</v>
      </c>
      <c r="F172" s="510">
        <v>3</v>
      </c>
      <c r="G172" s="510" t="s">
        <v>968</v>
      </c>
      <c r="H172" s="483" t="s">
        <v>1085</v>
      </c>
      <c r="I172" s="575" t="s">
        <v>1116</v>
      </c>
      <c r="J172" s="440">
        <f>SUM(L172:V172)</f>
        <v>5000000</v>
      </c>
      <c r="K172" s="527" t="s">
        <v>1122</v>
      </c>
      <c r="L172" s="527" t="s">
        <v>21</v>
      </c>
      <c r="M172" s="440">
        <v>0</v>
      </c>
      <c r="N172" s="440">
        <v>0</v>
      </c>
      <c r="O172" s="440">
        <v>0</v>
      </c>
      <c r="P172" s="440">
        <v>0</v>
      </c>
      <c r="Q172" s="440">
        <v>0</v>
      </c>
      <c r="R172" s="440">
        <v>5000000</v>
      </c>
      <c r="S172" s="440">
        <v>0</v>
      </c>
      <c r="T172" s="440">
        <v>0</v>
      </c>
      <c r="U172" s="440">
        <v>0</v>
      </c>
      <c r="V172" s="440">
        <v>0</v>
      </c>
    </row>
    <row r="173" spans="1:22" s="423" customFormat="1" ht="28.5" customHeight="1">
      <c r="A173" s="427"/>
      <c r="B173" s="427"/>
      <c r="C173" s="427"/>
      <c r="D173" s="437"/>
      <c r="E173" s="526">
        <v>4</v>
      </c>
      <c r="F173" s="510">
        <v>3</v>
      </c>
      <c r="G173" s="510">
        <v>99</v>
      </c>
      <c r="H173" s="483" t="s">
        <v>1086</v>
      </c>
      <c r="I173" s="575"/>
      <c r="J173" s="440">
        <f>SUM(L173:V173)</f>
        <v>0</v>
      </c>
      <c r="K173" s="527"/>
      <c r="L173" s="527">
        <v>0</v>
      </c>
      <c r="M173" s="440">
        <v>0</v>
      </c>
      <c r="N173" s="440">
        <v>0</v>
      </c>
      <c r="O173" s="440">
        <v>0</v>
      </c>
      <c r="P173" s="440">
        <v>0</v>
      </c>
      <c r="Q173" s="440">
        <v>0</v>
      </c>
      <c r="R173" s="440">
        <v>0</v>
      </c>
      <c r="S173" s="440">
        <v>0</v>
      </c>
      <c r="T173" s="440">
        <v>0</v>
      </c>
      <c r="U173" s="440">
        <v>0</v>
      </c>
      <c r="V173" s="440">
        <v>0</v>
      </c>
    </row>
    <row r="174" spans="1:22" s="420" customFormat="1" ht="36">
      <c r="A174" s="496"/>
      <c r="B174" s="496"/>
      <c r="C174" s="496"/>
      <c r="D174" s="444"/>
      <c r="E174" s="444">
        <v>4</v>
      </c>
      <c r="F174" s="507">
        <v>4</v>
      </c>
      <c r="G174" s="507"/>
      <c r="H174" s="536" t="s">
        <v>210</v>
      </c>
      <c r="I174" s="569"/>
      <c r="J174" s="447">
        <f>SUM(J175:J182)</f>
        <v>24720000</v>
      </c>
      <c r="K174" s="448"/>
      <c r="L174" s="448">
        <f>SUM(L179:L182)</f>
        <v>0</v>
      </c>
      <c r="M174" s="447">
        <f t="shared" ref="M174:U174" si="54">SUM(M175:M182)</f>
        <v>0</v>
      </c>
      <c r="N174" s="447">
        <f t="shared" si="54"/>
        <v>0</v>
      </c>
      <c r="O174" s="447">
        <f t="shared" si="54"/>
        <v>0</v>
      </c>
      <c r="P174" s="447">
        <f t="shared" si="54"/>
        <v>0</v>
      </c>
      <c r="Q174" s="537">
        <f t="shared" si="54"/>
        <v>0</v>
      </c>
      <c r="R174" s="447">
        <f t="shared" si="54"/>
        <v>24720000</v>
      </c>
      <c r="S174" s="447">
        <f t="shared" si="54"/>
        <v>0</v>
      </c>
      <c r="T174" s="447">
        <f t="shared" si="54"/>
        <v>0</v>
      </c>
      <c r="U174" s="447">
        <f t="shared" si="54"/>
        <v>0</v>
      </c>
      <c r="V174" s="447">
        <f>SUM(V179:V182)</f>
        <v>0</v>
      </c>
    </row>
    <row r="175" spans="1:22" s="423" customFormat="1" ht="27.75" customHeight="1">
      <c r="A175" s="427"/>
      <c r="B175" s="427"/>
      <c r="C175" s="427"/>
      <c r="D175" s="437"/>
      <c r="E175" s="526">
        <v>4</v>
      </c>
      <c r="F175" s="519">
        <v>4</v>
      </c>
      <c r="G175" s="519" t="s">
        <v>960</v>
      </c>
      <c r="H175" s="483" t="s">
        <v>325</v>
      </c>
      <c r="I175" s="575" t="s">
        <v>1116</v>
      </c>
      <c r="J175" s="440">
        <f t="shared" ref="J175:J182" si="55">SUM(L175:V175)</f>
        <v>3370000</v>
      </c>
      <c r="K175" s="527" t="s">
        <v>1122</v>
      </c>
      <c r="L175" s="527" t="s">
        <v>21</v>
      </c>
      <c r="M175" s="440">
        <v>0</v>
      </c>
      <c r="N175" s="440">
        <v>0</v>
      </c>
      <c r="O175" s="440">
        <v>0</v>
      </c>
      <c r="P175" s="440">
        <v>0</v>
      </c>
      <c r="Q175" s="440"/>
      <c r="R175" s="440">
        <f>400000+200000+(3*14*30000)+(3*14*30000)+(5*50000)</f>
        <v>3370000</v>
      </c>
      <c r="S175" s="440">
        <v>0</v>
      </c>
      <c r="T175" s="440">
        <v>0</v>
      </c>
      <c r="U175" s="440">
        <v>0</v>
      </c>
      <c r="V175" s="440">
        <v>0</v>
      </c>
    </row>
    <row r="176" spans="1:22" s="423" customFormat="1" ht="27.75" customHeight="1">
      <c r="A176" s="427"/>
      <c r="B176" s="427"/>
      <c r="C176" s="427"/>
      <c r="D176" s="437"/>
      <c r="E176" s="526">
        <v>4</v>
      </c>
      <c r="F176" s="519">
        <v>4</v>
      </c>
      <c r="G176" s="519" t="s">
        <v>966</v>
      </c>
      <c r="H176" s="483" t="s">
        <v>326</v>
      </c>
      <c r="I176" s="575" t="s">
        <v>1116</v>
      </c>
      <c r="J176" s="440">
        <f t="shared" si="55"/>
        <v>3370000</v>
      </c>
      <c r="K176" s="527" t="s">
        <v>1122</v>
      </c>
      <c r="L176" s="527">
        <v>0</v>
      </c>
      <c r="M176" s="440">
        <v>0</v>
      </c>
      <c r="N176" s="440">
        <v>0</v>
      </c>
      <c r="O176" s="440">
        <v>0</v>
      </c>
      <c r="P176" s="440">
        <v>0</v>
      </c>
      <c r="Q176" s="440">
        <v>0</v>
      </c>
      <c r="R176" s="440">
        <f>400000+200000+(3*14*30000)+(3*14*30000)+(5*50000)</f>
        <v>3370000</v>
      </c>
      <c r="S176" s="440">
        <v>0</v>
      </c>
      <c r="T176" s="440">
        <v>0</v>
      </c>
      <c r="U176" s="440">
        <v>0</v>
      </c>
      <c r="V176" s="440">
        <v>0</v>
      </c>
    </row>
    <row r="177" spans="1:22" s="423" customFormat="1" ht="27.75" customHeight="1">
      <c r="A177" s="427"/>
      <c r="B177" s="427"/>
      <c r="C177" s="427"/>
      <c r="D177" s="437"/>
      <c r="E177" s="526">
        <v>4</v>
      </c>
      <c r="F177" s="519">
        <v>4</v>
      </c>
      <c r="G177" s="519" t="s">
        <v>319</v>
      </c>
      <c r="H177" s="483" t="s">
        <v>327</v>
      </c>
      <c r="I177" s="575" t="s">
        <v>1116</v>
      </c>
      <c r="J177" s="440">
        <f t="shared" si="55"/>
        <v>4500000</v>
      </c>
      <c r="K177" s="527" t="s">
        <v>1122</v>
      </c>
      <c r="L177" s="527" t="s">
        <v>21</v>
      </c>
      <c r="M177" s="440">
        <v>0</v>
      </c>
      <c r="N177" s="440">
        <v>0</v>
      </c>
      <c r="O177" s="440">
        <v>0</v>
      </c>
      <c r="P177" s="440">
        <v>0</v>
      </c>
      <c r="Q177" s="440"/>
      <c r="R177" s="440">
        <v>4500000</v>
      </c>
      <c r="S177" s="440">
        <v>0</v>
      </c>
      <c r="T177" s="440">
        <v>0</v>
      </c>
      <c r="U177" s="440">
        <v>0</v>
      </c>
      <c r="V177" s="440">
        <v>0</v>
      </c>
    </row>
    <row r="178" spans="1:22" s="423" customFormat="1" ht="27.75" customHeight="1">
      <c r="A178" s="427"/>
      <c r="B178" s="427"/>
      <c r="C178" s="427"/>
      <c r="D178" s="437"/>
      <c r="E178" s="526">
        <v>4</v>
      </c>
      <c r="F178" s="519">
        <v>4</v>
      </c>
      <c r="G178" s="519" t="s">
        <v>1042</v>
      </c>
      <c r="H178" s="483" t="s">
        <v>213</v>
      </c>
      <c r="I178" s="575" t="s">
        <v>1116</v>
      </c>
      <c r="J178" s="440">
        <f t="shared" si="55"/>
        <v>3370000</v>
      </c>
      <c r="K178" s="527" t="s">
        <v>1122</v>
      </c>
      <c r="L178" s="527">
        <v>0</v>
      </c>
      <c r="M178" s="440">
        <v>0</v>
      </c>
      <c r="N178" s="440">
        <v>0</v>
      </c>
      <c r="O178" s="440">
        <v>0</v>
      </c>
      <c r="P178" s="440">
        <v>0</v>
      </c>
      <c r="Q178" s="440">
        <v>0</v>
      </c>
      <c r="R178" s="440">
        <f>400000+200000+(3*14*30000)+(3*14*30000)+(5*50000)</f>
        <v>3370000</v>
      </c>
      <c r="S178" s="440">
        <v>0</v>
      </c>
      <c r="T178" s="440">
        <v>0</v>
      </c>
      <c r="U178" s="440">
        <v>0</v>
      </c>
      <c r="V178" s="440">
        <v>0</v>
      </c>
    </row>
    <row r="179" spans="1:22" s="423" customFormat="1" ht="27.75" customHeight="1">
      <c r="A179" s="427"/>
      <c r="B179" s="427"/>
      <c r="C179" s="427"/>
      <c r="D179" s="437"/>
      <c r="E179" s="526">
        <v>4</v>
      </c>
      <c r="F179" s="519">
        <v>4</v>
      </c>
      <c r="G179" s="519" t="s">
        <v>1036</v>
      </c>
      <c r="H179" s="483" t="s">
        <v>214</v>
      </c>
      <c r="I179" s="575" t="s">
        <v>1116</v>
      </c>
      <c r="J179" s="440">
        <f t="shared" si="55"/>
        <v>3370000</v>
      </c>
      <c r="K179" s="527" t="s">
        <v>1122</v>
      </c>
      <c r="L179" s="527" t="s">
        <v>21</v>
      </c>
      <c r="M179" s="440">
        <v>0</v>
      </c>
      <c r="N179" s="440">
        <v>0</v>
      </c>
      <c r="O179" s="440">
        <v>0</v>
      </c>
      <c r="P179" s="440">
        <v>0</v>
      </c>
      <c r="Q179" s="440"/>
      <c r="R179" s="440">
        <f>400000+200000+(3*14*30000)+(3*14*30000)+(5*50000)</f>
        <v>3370000</v>
      </c>
      <c r="S179" s="440">
        <v>0</v>
      </c>
      <c r="T179" s="440">
        <v>0</v>
      </c>
      <c r="U179" s="440">
        <v>0</v>
      </c>
      <c r="V179" s="440">
        <v>0</v>
      </c>
    </row>
    <row r="180" spans="1:22" s="423" customFormat="1" ht="27.75" customHeight="1">
      <c r="A180" s="427"/>
      <c r="B180" s="427"/>
      <c r="C180" s="427"/>
      <c r="D180" s="437"/>
      <c r="E180" s="526">
        <v>4</v>
      </c>
      <c r="F180" s="519">
        <v>4</v>
      </c>
      <c r="G180" s="519" t="s">
        <v>1080</v>
      </c>
      <c r="H180" s="483" t="s">
        <v>216</v>
      </c>
      <c r="I180" s="575" t="s">
        <v>1116</v>
      </c>
      <c r="J180" s="440">
        <f t="shared" si="55"/>
        <v>3370000</v>
      </c>
      <c r="K180" s="527" t="s">
        <v>1122</v>
      </c>
      <c r="L180" s="527">
        <v>0</v>
      </c>
      <c r="M180" s="440">
        <v>0</v>
      </c>
      <c r="N180" s="440">
        <v>0</v>
      </c>
      <c r="O180" s="440">
        <v>0</v>
      </c>
      <c r="P180" s="440">
        <v>0</v>
      </c>
      <c r="Q180" s="440">
        <v>0</v>
      </c>
      <c r="R180" s="440">
        <f>400000+200000+(3*14*30000)+(3*14*30000)+(5*50000)</f>
        <v>3370000</v>
      </c>
      <c r="S180" s="440">
        <v>0</v>
      </c>
      <c r="T180" s="440">
        <v>0</v>
      </c>
      <c r="U180" s="440">
        <v>0</v>
      </c>
      <c r="V180" s="440">
        <v>0</v>
      </c>
    </row>
    <row r="181" spans="1:22" s="423" customFormat="1" ht="27.75" customHeight="1">
      <c r="A181" s="427"/>
      <c r="B181" s="427"/>
      <c r="C181" s="427"/>
      <c r="D181" s="437"/>
      <c r="E181" s="526">
        <v>4</v>
      </c>
      <c r="F181" s="519">
        <v>4</v>
      </c>
      <c r="G181" s="519" t="s">
        <v>1030</v>
      </c>
      <c r="H181" s="483" t="s">
        <v>328</v>
      </c>
      <c r="I181" s="575" t="s">
        <v>1116</v>
      </c>
      <c r="J181" s="440">
        <f t="shared" si="55"/>
        <v>3370000</v>
      </c>
      <c r="K181" s="527" t="s">
        <v>1122</v>
      </c>
      <c r="L181" s="527" t="s">
        <v>21</v>
      </c>
      <c r="M181" s="440">
        <v>0</v>
      </c>
      <c r="N181" s="440">
        <v>0</v>
      </c>
      <c r="O181" s="440">
        <v>0</v>
      </c>
      <c r="P181" s="440">
        <v>0</v>
      </c>
      <c r="Q181" s="440"/>
      <c r="R181" s="440">
        <f>400000+200000+(3*14*30000)+(3*14*30000)+(5*50000)</f>
        <v>3370000</v>
      </c>
      <c r="S181" s="440">
        <v>0</v>
      </c>
      <c r="T181" s="440">
        <v>0</v>
      </c>
      <c r="U181" s="440">
        <v>0</v>
      </c>
      <c r="V181" s="440">
        <v>0</v>
      </c>
    </row>
    <row r="182" spans="1:22" s="423" customFormat="1" ht="37.5">
      <c r="A182" s="427"/>
      <c r="B182" s="427"/>
      <c r="C182" s="427"/>
      <c r="D182" s="437"/>
      <c r="E182" s="526">
        <v>4</v>
      </c>
      <c r="F182" s="519">
        <v>4</v>
      </c>
      <c r="G182" s="519">
        <v>99</v>
      </c>
      <c r="H182" s="483" t="s">
        <v>1087</v>
      </c>
      <c r="I182" s="575"/>
      <c r="J182" s="440">
        <f t="shared" si="55"/>
        <v>0</v>
      </c>
      <c r="K182" s="527"/>
      <c r="L182" s="527">
        <v>0</v>
      </c>
      <c r="M182" s="440">
        <v>0</v>
      </c>
      <c r="N182" s="440">
        <v>0</v>
      </c>
      <c r="O182" s="440">
        <v>0</v>
      </c>
      <c r="P182" s="440">
        <v>0</v>
      </c>
      <c r="Q182" s="440">
        <v>0</v>
      </c>
      <c r="R182" s="440">
        <v>0</v>
      </c>
      <c r="S182" s="440">
        <v>0</v>
      </c>
      <c r="T182" s="440">
        <v>0</v>
      </c>
      <c r="U182" s="440">
        <v>0</v>
      </c>
      <c r="V182" s="440">
        <v>0</v>
      </c>
    </row>
    <row r="183" spans="1:22" s="420" customFormat="1" ht="25.5" customHeight="1">
      <c r="A183" s="496"/>
      <c r="B183" s="496"/>
      <c r="C183" s="496"/>
      <c r="D183" s="444"/>
      <c r="E183" s="444">
        <v>4</v>
      </c>
      <c r="F183" s="507">
        <v>6</v>
      </c>
      <c r="G183" s="507"/>
      <c r="H183" s="515" t="s">
        <v>217</v>
      </c>
      <c r="I183" s="498"/>
      <c r="J183" s="447">
        <f>SUM(J184:J185)</f>
        <v>7000000</v>
      </c>
      <c r="K183" s="448"/>
      <c r="L183" s="448" t="s">
        <v>21</v>
      </c>
      <c r="M183" s="447">
        <f t="shared" ref="M183:V183" si="56">SUM(M184:M185)</f>
        <v>0</v>
      </c>
      <c r="N183" s="447">
        <f t="shared" si="56"/>
        <v>0</v>
      </c>
      <c r="O183" s="447">
        <f t="shared" si="56"/>
        <v>0</v>
      </c>
      <c r="P183" s="447">
        <f t="shared" si="56"/>
        <v>0</v>
      </c>
      <c r="Q183" s="447">
        <f t="shared" si="56"/>
        <v>0</v>
      </c>
      <c r="R183" s="447">
        <f t="shared" si="56"/>
        <v>7000000</v>
      </c>
      <c r="S183" s="447">
        <f t="shared" si="56"/>
        <v>0</v>
      </c>
      <c r="T183" s="447">
        <f t="shared" si="56"/>
        <v>0</v>
      </c>
      <c r="U183" s="447">
        <f t="shared" si="56"/>
        <v>0</v>
      </c>
      <c r="V183" s="447">
        <f t="shared" si="56"/>
        <v>0</v>
      </c>
    </row>
    <row r="184" spans="1:22" s="423" customFormat="1" ht="27.75" customHeight="1">
      <c r="A184" s="427"/>
      <c r="B184" s="427"/>
      <c r="C184" s="427"/>
      <c r="D184" s="437"/>
      <c r="E184" s="437">
        <v>4</v>
      </c>
      <c r="F184" s="519">
        <v>6</v>
      </c>
      <c r="G184" s="519" t="s">
        <v>966</v>
      </c>
      <c r="H184" s="495" t="s">
        <v>1088</v>
      </c>
      <c r="I184" s="575" t="s">
        <v>1116</v>
      </c>
      <c r="J184" s="440">
        <f>SUM(L184:V184)</f>
        <v>7000000</v>
      </c>
      <c r="K184" s="527" t="s">
        <v>1122</v>
      </c>
      <c r="L184" s="527" t="s">
        <v>21</v>
      </c>
      <c r="M184" s="440">
        <v>0</v>
      </c>
      <c r="N184" s="440">
        <v>0</v>
      </c>
      <c r="O184" s="440">
        <v>0</v>
      </c>
      <c r="P184" s="440">
        <v>0</v>
      </c>
      <c r="Q184" s="440">
        <v>0</v>
      </c>
      <c r="R184" s="440">
        <v>7000000</v>
      </c>
      <c r="S184" s="440">
        <v>0</v>
      </c>
      <c r="T184" s="440">
        <v>0</v>
      </c>
      <c r="U184" s="440">
        <v>0</v>
      </c>
      <c r="V184" s="440">
        <v>0</v>
      </c>
    </row>
    <row r="185" spans="1:22" s="423" customFormat="1" ht="27.75" customHeight="1">
      <c r="A185" s="427"/>
      <c r="B185" s="427"/>
      <c r="C185" s="427"/>
      <c r="D185" s="437"/>
      <c r="E185" s="437">
        <v>4</v>
      </c>
      <c r="F185" s="519">
        <v>6</v>
      </c>
      <c r="G185" s="519">
        <v>99</v>
      </c>
      <c r="H185" s="495" t="s">
        <v>1119</v>
      </c>
      <c r="I185" s="576"/>
      <c r="J185" s="440">
        <f>SUM(L185:V185)</f>
        <v>0</v>
      </c>
      <c r="K185" s="527"/>
      <c r="L185" s="527" t="s">
        <v>21</v>
      </c>
      <c r="M185" s="440">
        <v>0</v>
      </c>
      <c r="N185" s="440">
        <v>0</v>
      </c>
      <c r="O185" s="440">
        <v>0</v>
      </c>
      <c r="P185" s="440">
        <v>0</v>
      </c>
      <c r="Q185" s="440">
        <v>0</v>
      </c>
      <c r="R185" s="440"/>
      <c r="S185" s="440">
        <v>0</v>
      </c>
      <c r="T185" s="440">
        <v>0</v>
      </c>
      <c r="U185" s="440">
        <v>0</v>
      </c>
      <c r="V185" s="440">
        <v>0</v>
      </c>
    </row>
    <row r="186" spans="1:22" s="420" customFormat="1" ht="25.5" customHeight="1">
      <c r="A186" s="496"/>
      <c r="B186" s="496"/>
      <c r="C186" s="496"/>
      <c r="D186" s="444"/>
      <c r="E186" s="444">
        <v>4</v>
      </c>
      <c r="F186" s="507">
        <v>7</v>
      </c>
      <c r="G186" s="507"/>
      <c r="H186" s="515" t="s">
        <v>1090</v>
      </c>
      <c r="I186" s="498"/>
      <c r="J186" s="447">
        <f>SUM(J187:J188)</f>
        <v>3370000</v>
      </c>
      <c r="K186" s="448"/>
      <c r="L186" s="448" t="s">
        <v>21</v>
      </c>
      <c r="M186" s="447">
        <f>SUM(M187:M188)</f>
        <v>0</v>
      </c>
      <c r="N186" s="447">
        <f t="shared" ref="N186:V186" si="57">SUM(N187:N188)</f>
        <v>0</v>
      </c>
      <c r="O186" s="447">
        <f t="shared" si="57"/>
        <v>0</v>
      </c>
      <c r="P186" s="447">
        <f t="shared" si="57"/>
        <v>0</v>
      </c>
      <c r="Q186" s="447">
        <f t="shared" si="57"/>
        <v>0</v>
      </c>
      <c r="R186" s="447">
        <f t="shared" si="57"/>
        <v>3370000</v>
      </c>
      <c r="S186" s="447">
        <f t="shared" si="57"/>
        <v>0</v>
      </c>
      <c r="T186" s="447">
        <f t="shared" si="57"/>
        <v>0</v>
      </c>
      <c r="U186" s="447">
        <f t="shared" si="57"/>
        <v>0</v>
      </c>
      <c r="V186" s="447">
        <f t="shared" si="57"/>
        <v>0</v>
      </c>
    </row>
    <row r="187" spans="1:22" s="423" customFormat="1" ht="42" customHeight="1">
      <c r="A187" s="427"/>
      <c r="B187" s="427"/>
      <c r="C187" s="427"/>
      <c r="D187" s="437"/>
      <c r="E187" s="437">
        <v>4</v>
      </c>
      <c r="F187" s="519">
        <v>6</v>
      </c>
      <c r="G187" s="519" t="s">
        <v>966</v>
      </c>
      <c r="H187" s="484" t="s">
        <v>332</v>
      </c>
      <c r="I187" s="575" t="s">
        <v>1116</v>
      </c>
      <c r="J187" s="440">
        <f>SUM(L187:V187)</f>
        <v>3370000</v>
      </c>
      <c r="K187" s="527" t="s">
        <v>1122</v>
      </c>
      <c r="L187" s="527" t="s">
        <v>21</v>
      </c>
      <c r="M187" s="440">
        <v>0</v>
      </c>
      <c r="N187" s="440">
        <v>0</v>
      </c>
      <c r="O187" s="440">
        <v>0</v>
      </c>
      <c r="P187" s="440">
        <v>0</v>
      </c>
      <c r="Q187" s="440">
        <v>0</v>
      </c>
      <c r="R187" s="440">
        <f>400000+200000+(3*14*30000)+(3*14*30000)+(5*50000)</f>
        <v>3370000</v>
      </c>
      <c r="S187" s="440">
        <v>0</v>
      </c>
      <c r="T187" s="440">
        <v>0</v>
      </c>
      <c r="U187" s="440">
        <v>0</v>
      </c>
      <c r="V187" s="440">
        <v>0</v>
      </c>
    </row>
    <row r="188" spans="1:22" s="423" customFormat="1" ht="27.75" customHeight="1">
      <c r="A188" s="427"/>
      <c r="B188" s="427"/>
      <c r="C188" s="427"/>
      <c r="D188" s="437"/>
      <c r="E188" s="437">
        <v>4</v>
      </c>
      <c r="F188" s="519">
        <v>6</v>
      </c>
      <c r="G188" s="519">
        <v>99</v>
      </c>
      <c r="H188" s="495" t="s">
        <v>1091</v>
      </c>
      <c r="I188" s="576"/>
      <c r="J188" s="440">
        <f>SUM(L188:V188)</f>
        <v>0</v>
      </c>
      <c r="K188" s="527"/>
      <c r="L188" s="527">
        <v>0</v>
      </c>
      <c r="M188" s="440">
        <v>0</v>
      </c>
      <c r="N188" s="440">
        <v>0</v>
      </c>
      <c r="O188" s="440">
        <v>0</v>
      </c>
      <c r="P188" s="440">
        <v>0</v>
      </c>
      <c r="Q188" s="440">
        <v>0</v>
      </c>
      <c r="R188" s="440">
        <v>0</v>
      </c>
      <c r="S188" s="440">
        <v>0</v>
      </c>
      <c r="T188" s="440">
        <v>0</v>
      </c>
      <c r="U188" s="440">
        <v>0</v>
      </c>
      <c r="V188" s="440">
        <v>0</v>
      </c>
    </row>
    <row r="189" spans="1:22" s="420" customFormat="1" ht="39.75" customHeight="1">
      <c r="A189" s="450"/>
      <c r="B189" s="450"/>
      <c r="C189" s="450"/>
      <c r="D189" s="505"/>
      <c r="E189" s="451">
        <v>5</v>
      </c>
      <c r="F189" s="506"/>
      <c r="G189" s="506"/>
      <c r="H189" s="452" t="s">
        <v>1092</v>
      </c>
      <c r="I189" s="451"/>
      <c r="J189" s="453">
        <f>J190+J192+J194</f>
        <v>107000000</v>
      </c>
      <c r="K189" s="538"/>
      <c r="L189" s="538" t="s">
        <v>914</v>
      </c>
      <c r="M189" s="453">
        <f t="shared" ref="M189:V189" si="58">M190+M192+M194</f>
        <v>0</v>
      </c>
      <c r="N189" s="453">
        <f t="shared" si="58"/>
        <v>0</v>
      </c>
      <c r="O189" s="453">
        <f t="shared" si="58"/>
        <v>0</v>
      </c>
      <c r="P189" s="453">
        <f t="shared" si="58"/>
        <v>0</v>
      </c>
      <c r="Q189" s="453">
        <f t="shared" si="58"/>
        <v>0</v>
      </c>
      <c r="R189" s="453">
        <f t="shared" si="58"/>
        <v>107000000</v>
      </c>
      <c r="S189" s="453">
        <f t="shared" si="58"/>
        <v>0</v>
      </c>
      <c r="T189" s="453">
        <f t="shared" si="58"/>
        <v>0</v>
      </c>
      <c r="U189" s="453">
        <f t="shared" si="58"/>
        <v>0</v>
      </c>
      <c r="V189" s="453">
        <f t="shared" si="58"/>
        <v>0</v>
      </c>
    </row>
    <row r="190" spans="1:22" s="420" customFormat="1" ht="25.5" customHeight="1">
      <c r="A190" s="539"/>
      <c r="B190" s="539"/>
      <c r="C190" s="539"/>
      <c r="D190" s="437"/>
      <c r="E190" s="428">
        <v>5</v>
      </c>
      <c r="F190" s="540">
        <v>1</v>
      </c>
      <c r="G190" s="428"/>
      <c r="H190" s="429" t="s">
        <v>1093</v>
      </c>
      <c r="I190" s="428"/>
      <c r="J190" s="431">
        <f>SUM(J191)</f>
        <v>35000000</v>
      </c>
      <c r="K190" s="432"/>
      <c r="L190" s="432" t="s">
        <v>914</v>
      </c>
      <c r="M190" s="431">
        <f t="shared" ref="M190:V190" si="59">SUM(M191)</f>
        <v>0</v>
      </c>
      <c r="N190" s="431">
        <f t="shared" si="59"/>
        <v>0</v>
      </c>
      <c r="O190" s="431">
        <f t="shared" si="59"/>
        <v>0</v>
      </c>
      <c r="P190" s="431">
        <f t="shared" si="59"/>
        <v>0</v>
      </c>
      <c r="Q190" s="431">
        <f t="shared" si="59"/>
        <v>0</v>
      </c>
      <c r="R190" s="431">
        <f t="shared" si="59"/>
        <v>35000000</v>
      </c>
      <c r="S190" s="431">
        <f t="shared" si="59"/>
        <v>0</v>
      </c>
      <c r="T190" s="431">
        <f t="shared" si="59"/>
        <v>0</v>
      </c>
      <c r="U190" s="431">
        <f t="shared" si="59"/>
        <v>0</v>
      </c>
      <c r="V190" s="431">
        <f t="shared" si="59"/>
        <v>0</v>
      </c>
    </row>
    <row r="191" spans="1:22" s="436" customFormat="1" ht="25.5" customHeight="1">
      <c r="A191" s="541"/>
      <c r="B191" s="541"/>
      <c r="C191" s="541"/>
      <c r="D191" s="437"/>
      <c r="E191" s="433">
        <v>5</v>
      </c>
      <c r="F191" s="542">
        <v>1</v>
      </c>
      <c r="G191" s="542" t="s">
        <v>960</v>
      </c>
      <c r="H191" s="434" t="s">
        <v>1093</v>
      </c>
      <c r="I191" s="428" t="s">
        <v>1120</v>
      </c>
      <c r="J191" s="543">
        <f>SUM(L191:V191)</f>
        <v>35000000</v>
      </c>
      <c r="K191" s="527" t="s">
        <v>1122</v>
      </c>
      <c r="L191" s="544" t="s">
        <v>914</v>
      </c>
      <c r="M191" s="543">
        <v>0</v>
      </c>
      <c r="N191" s="543">
        <v>0</v>
      </c>
      <c r="O191" s="543">
        <v>0</v>
      </c>
      <c r="P191" s="543">
        <v>0</v>
      </c>
      <c r="Q191" s="543">
        <v>0</v>
      </c>
      <c r="R191" s="543">
        <v>35000000</v>
      </c>
      <c r="S191" s="543"/>
      <c r="T191" s="543">
        <v>0</v>
      </c>
      <c r="U191" s="543">
        <v>0</v>
      </c>
      <c r="V191" s="543">
        <v>0</v>
      </c>
    </row>
    <row r="192" spans="1:22" s="420" customFormat="1" ht="25.5" customHeight="1">
      <c r="A192" s="539"/>
      <c r="B192" s="539"/>
      <c r="C192" s="539"/>
      <c r="D192" s="437"/>
      <c r="E192" s="428">
        <v>5</v>
      </c>
      <c r="F192" s="540">
        <v>2</v>
      </c>
      <c r="G192" s="428"/>
      <c r="H192" s="429" t="s">
        <v>1094</v>
      </c>
      <c r="I192" s="428"/>
      <c r="J192" s="431">
        <f>SUM(J193)</f>
        <v>0</v>
      </c>
      <c r="K192" s="432"/>
      <c r="L192" s="432" t="s">
        <v>914</v>
      </c>
      <c r="M192" s="431">
        <f t="shared" ref="M192:V192" si="60">SUM(M193)</f>
        <v>0</v>
      </c>
      <c r="N192" s="431">
        <f t="shared" si="60"/>
        <v>0</v>
      </c>
      <c r="O192" s="431">
        <f t="shared" si="60"/>
        <v>0</v>
      </c>
      <c r="P192" s="431">
        <f t="shared" si="60"/>
        <v>0</v>
      </c>
      <c r="Q192" s="431">
        <f t="shared" si="60"/>
        <v>0</v>
      </c>
      <c r="R192" s="431">
        <f t="shared" si="60"/>
        <v>0</v>
      </c>
      <c r="S192" s="431">
        <f t="shared" si="60"/>
        <v>0</v>
      </c>
      <c r="T192" s="431">
        <f t="shared" si="60"/>
        <v>0</v>
      </c>
      <c r="U192" s="431">
        <f t="shared" si="60"/>
        <v>0</v>
      </c>
      <c r="V192" s="431">
        <f t="shared" si="60"/>
        <v>0</v>
      </c>
    </row>
    <row r="193" spans="1:22" s="436" customFormat="1" ht="25.5" customHeight="1">
      <c r="A193" s="541"/>
      <c r="B193" s="541"/>
      <c r="C193" s="541"/>
      <c r="D193" s="437"/>
      <c r="E193" s="433">
        <v>5</v>
      </c>
      <c r="F193" s="542">
        <v>2</v>
      </c>
      <c r="G193" s="542" t="s">
        <v>960</v>
      </c>
      <c r="H193" s="434" t="s">
        <v>1094</v>
      </c>
      <c r="I193" s="428"/>
      <c r="J193" s="543">
        <f>SUM(L193:V193)</f>
        <v>0</v>
      </c>
      <c r="K193" s="432"/>
      <c r="L193" s="544" t="s">
        <v>914</v>
      </c>
      <c r="M193" s="543">
        <v>0</v>
      </c>
      <c r="N193" s="543">
        <v>0</v>
      </c>
      <c r="O193" s="543">
        <v>0</v>
      </c>
      <c r="P193" s="543">
        <v>0</v>
      </c>
      <c r="Q193" s="543">
        <v>0</v>
      </c>
      <c r="R193" s="543"/>
      <c r="S193" s="543"/>
      <c r="T193" s="543">
        <v>0</v>
      </c>
      <c r="U193" s="543">
        <v>0</v>
      </c>
      <c r="V193" s="543">
        <v>0</v>
      </c>
    </row>
    <row r="194" spans="1:22" s="420" customFormat="1" ht="25.5" customHeight="1">
      <c r="A194" s="539"/>
      <c r="B194" s="539"/>
      <c r="C194" s="539"/>
      <c r="D194" s="437"/>
      <c r="E194" s="428">
        <v>5</v>
      </c>
      <c r="F194" s="540">
        <v>3</v>
      </c>
      <c r="G194" s="428"/>
      <c r="H194" s="429" t="s">
        <v>1095</v>
      </c>
      <c r="I194" s="428"/>
      <c r="J194" s="431">
        <f>SUM(J195)</f>
        <v>72000000</v>
      </c>
      <c r="K194" s="432"/>
      <c r="L194" s="432" t="s">
        <v>914</v>
      </c>
      <c r="M194" s="431">
        <f t="shared" ref="M194:V194" si="61">SUM(M195)</f>
        <v>0</v>
      </c>
      <c r="N194" s="431">
        <f t="shared" si="61"/>
        <v>0</v>
      </c>
      <c r="O194" s="431">
        <f t="shared" si="61"/>
        <v>0</v>
      </c>
      <c r="P194" s="431">
        <f t="shared" si="61"/>
        <v>0</v>
      </c>
      <c r="Q194" s="431">
        <f t="shared" si="61"/>
        <v>0</v>
      </c>
      <c r="R194" s="431">
        <f t="shared" si="61"/>
        <v>72000000</v>
      </c>
      <c r="S194" s="431">
        <f t="shared" si="61"/>
        <v>0</v>
      </c>
      <c r="T194" s="431">
        <f t="shared" si="61"/>
        <v>0</v>
      </c>
      <c r="U194" s="431">
        <f t="shared" si="61"/>
        <v>0</v>
      </c>
      <c r="V194" s="431">
        <f t="shared" si="61"/>
        <v>0</v>
      </c>
    </row>
    <row r="195" spans="1:22" s="436" customFormat="1" ht="25.5" customHeight="1">
      <c r="A195" s="541"/>
      <c r="B195" s="541"/>
      <c r="C195" s="541"/>
      <c r="D195" s="437"/>
      <c r="E195" s="433">
        <v>5</v>
      </c>
      <c r="F195" s="542">
        <v>3</v>
      </c>
      <c r="G195" s="542" t="s">
        <v>960</v>
      </c>
      <c r="H195" s="434" t="s">
        <v>1095</v>
      </c>
      <c r="I195" s="428" t="s">
        <v>1120</v>
      </c>
      <c r="J195" s="543">
        <f>SUM(L195:V195)</f>
        <v>72000000</v>
      </c>
      <c r="K195" s="527" t="s">
        <v>1122</v>
      </c>
      <c r="L195" s="544" t="s">
        <v>914</v>
      </c>
      <c r="M195" s="543">
        <v>0</v>
      </c>
      <c r="N195" s="543">
        <v>0</v>
      </c>
      <c r="O195" s="543">
        <v>0</v>
      </c>
      <c r="P195" s="543">
        <v>0</v>
      </c>
      <c r="Q195" s="543">
        <v>0</v>
      </c>
      <c r="R195" s="543">
        <f>300000*20*12</f>
        <v>72000000</v>
      </c>
      <c r="S195" s="543"/>
      <c r="T195" s="543">
        <v>0</v>
      </c>
      <c r="U195" s="543">
        <v>0</v>
      </c>
      <c r="V195" s="543">
        <v>0</v>
      </c>
    </row>
    <row r="196" spans="1:22" s="423" customFormat="1" ht="25.5" customHeight="1">
      <c r="A196" s="545"/>
      <c r="B196" s="546"/>
      <c r="C196" s="546"/>
      <c r="D196" s="545"/>
      <c r="E196" s="545"/>
      <c r="F196" s="545"/>
      <c r="G196" s="547"/>
      <c r="H196" s="548"/>
      <c r="I196" s="545"/>
      <c r="J196" s="440"/>
      <c r="K196" s="527"/>
      <c r="L196" s="441"/>
      <c r="M196" s="442"/>
      <c r="N196" s="442"/>
      <c r="O196" s="442"/>
      <c r="P196" s="442"/>
      <c r="Q196" s="442"/>
      <c r="R196" s="442"/>
      <c r="S196" s="442"/>
      <c r="T196" s="442"/>
      <c r="U196" s="442"/>
      <c r="V196" s="442"/>
    </row>
    <row r="197" spans="1:22" s="423" customFormat="1" ht="25.5" customHeight="1">
      <c r="A197" s="437"/>
      <c r="B197" s="437"/>
      <c r="C197" s="437"/>
      <c r="D197" s="437"/>
      <c r="E197" s="437"/>
      <c r="F197" s="437"/>
      <c r="G197" s="443"/>
      <c r="H197" s="438"/>
      <c r="I197" s="437"/>
      <c r="J197" s="440"/>
      <c r="K197" s="527"/>
      <c r="L197" s="441"/>
      <c r="M197" s="442"/>
      <c r="N197" s="442"/>
      <c r="O197" s="442"/>
      <c r="P197" s="442"/>
      <c r="Q197" s="442"/>
      <c r="R197" s="442"/>
      <c r="S197" s="442"/>
      <c r="T197" s="442"/>
      <c r="U197" s="442"/>
      <c r="V197" s="442"/>
    </row>
    <row r="198" spans="1:22" s="423" customFormat="1" ht="25.5" customHeight="1">
      <c r="A198" s="437"/>
      <c r="B198" s="437"/>
      <c r="C198" s="437"/>
      <c r="D198" s="437"/>
      <c r="E198" s="437"/>
      <c r="F198" s="437"/>
      <c r="G198" s="443"/>
      <c r="H198" s="429" t="s">
        <v>1096</v>
      </c>
      <c r="I198" s="428"/>
      <c r="J198" s="440">
        <f>J66</f>
        <v>2529326700</v>
      </c>
      <c r="K198" s="527"/>
      <c r="L198" s="527"/>
      <c r="M198" s="440">
        <f t="shared" ref="M198:V198" si="62">M66</f>
        <v>8000000</v>
      </c>
      <c r="N198" s="440">
        <f t="shared" si="62"/>
        <v>3600000</v>
      </c>
      <c r="O198" s="440">
        <f t="shared" si="62"/>
        <v>0</v>
      </c>
      <c r="P198" s="440">
        <f t="shared" si="62"/>
        <v>2250000</v>
      </c>
      <c r="Q198" s="440">
        <f t="shared" si="62"/>
        <v>1500000</v>
      </c>
      <c r="R198" s="440">
        <f t="shared" si="62"/>
        <v>1198676000</v>
      </c>
      <c r="S198" s="440">
        <f t="shared" si="62"/>
        <v>867093200</v>
      </c>
      <c r="T198" s="440">
        <f t="shared" si="62"/>
        <v>69807500</v>
      </c>
      <c r="U198" s="440">
        <f t="shared" si="62"/>
        <v>350000000</v>
      </c>
      <c r="V198" s="549">
        <f t="shared" si="62"/>
        <v>28400000</v>
      </c>
    </row>
    <row r="199" spans="1:22" s="423" customFormat="1" ht="25.5" customHeight="1">
      <c r="A199" s="437"/>
      <c r="B199" s="437"/>
      <c r="C199" s="437"/>
      <c r="D199" s="437"/>
      <c r="E199" s="437"/>
      <c r="F199" s="437"/>
      <c r="G199" s="443"/>
      <c r="H199" s="429" t="s">
        <v>1097</v>
      </c>
      <c r="I199" s="428"/>
      <c r="J199" s="440">
        <f>J12-J66</f>
        <v>-28400000</v>
      </c>
      <c r="K199" s="527"/>
      <c r="L199" s="527"/>
      <c r="M199" s="440">
        <f t="shared" ref="M199:V199" si="63">M12-M66</f>
        <v>0</v>
      </c>
      <c r="N199" s="440">
        <f t="shared" si="63"/>
        <v>0</v>
      </c>
      <c r="O199" s="440">
        <f t="shared" si="63"/>
        <v>0</v>
      </c>
      <c r="P199" s="440">
        <f t="shared" si="63"/>
        <v>0</v>
      </c>
      <c r="Q199" s="440">
        <f t="shared" si="63"/>
        <v>0</v>
      </c>
      <c r="R199" s="440">
        <f t="shared" si="63"/>
        <v>0</v>
      </c>
      <c r="S199" s="440">
        <f t="shared" si="63"/>
        <v>0</v>
      </c>
      <c r="T199" s="440">
        <f t="shared" si="63"/>
        <v>0</v>
      </c>
      <c r="U199" s="440">
        <f t="shared" si="63"/>
        <v>0</v>
      </c>
      <c r="V199" s="549">
        <f t="shared" si="63"/>
        <v>-28400000</v>
      </c>
    </row>
    <row r="200" spans="1:22" s="423" customFormat="1" ht="25.5" customHeight="1">
      <c r="A200" s="437"/>
      <c r="B200" s="437"/>
      <c r="C200" s="437"/>
      <c r="D200" s="437"/>
      <c r="E200" s="437"/>
      <c r="F200" s="437"/>
      <c r="G200" s="443"/>
      <c r="H200" s="438"/>
      <c r="I200" s="437"/>
      <c r="J200" s="440"/>
      <c r="K200" s="527"/>
      <c r="L200" s="441"/>
      <c r="M200" s="442"/>
      <c r="N200" s="442"/>
      <c r="O200" s="442"/>
      <c r="P200" s="442"/>
      <c r="Q200" s="442"/>
      <c r="R200" s="442"/>
      <c r="S200" s="442"/>
      <c r="T200" s="442"/>
      <c r="U200" s="442"/>
      <c r="V200" s="550"/>
    </row>
    <row r="201" spans="1:22" s="420" customFormat="1" ht="25.5" customHeight="1">
      <c r="A201" s="428"/>
      <c r="B201" s="428"/>
      <c r="C201" s="428"/>
      <c r="D201" s="428">
        <v>6</v>
      </c>
      <c r="E201" s="428"/>
      <c r="F201" s="428"/>
      <c r="G201" s="430"/>
      <c r="H201" s="429" t="s">
        <v>1098</v>
      </c>
      <c r="I201" s="428"/>
      <c r="J201" s="431">
        <f>SUM(J202)</f>
        <v>48400000</v>
      </c>
      <c r="K201" s="432"/>
      <c r="L201" s="432">
        <f t="shared" ref="L201:U201" si="64">SUM(L202)</f>
        <v>0</v>
      </c>
      <c r="M201" s="431">
        <f t="shared" si="64"/>
        <v>0</v>
      </c>
      <c r="N201" s="431">
        <f t="shared" si="64"/>
        <v>0</v>
      </c>
      <c r="O201" s="431">
        <f t="shared" si="64"/>
        <v>0</v>
      </c>
      <c r="P201" s="431">
        <f t="shared" si="64"/>
        <v>0</v>
      </c>
      <c r="Q201" s="431">
        <f t="shared" si="64"/>
        <v>0</v>
      </c>
      <c r="R201" s="431">
        <f t="shared" si="64"/>
        <v>0</v>
      </c>
      <c r="S201" s="431">
        <f t="shared" si="64"/>
        <v>0</v>
      </c>
      <c r="T201" s="431">
        <f t="shared" si="64"/>
        <v>0</v>
      </c>
      <c r="U201" s="431">
        <f t="shared" si="64"/>
        <v>0</v>
      </c>
      <c r="V201" s="551">
        <f>SUM(V202)</f>
        <v>48400000</v>
      </c>
    </row>
    <row r="202" spans="1:22" s="420" customFormat="1" ht="22.5" customHeight="1">
      <c r="A202" s="428"/>
      <c r="B202" s="428"/>
      <c r="C202" s="428"/>
      <c r="D202" s="428">
        <v>6</v>
      </c>
      <c r="E202" s="428">
        <v>1</v>
      </c>
      <c r="F202" s="428"/>
      <c r="G202" s="430"/>
      <c r="H202" s="429" t="s">
        <v>1099</v>
      </c>
      <c r="I202" s="428"/>
      <c r="J202" s="431">
        <f>J203+J205+J207+J209</f>
        <v>48400000</v>
      </c>
      <c r="K202" s="432"/>
      <c r="L202" s="432">
        <f t="shared" ref="L202:U202" si="65">L203+L205+L207+L209</f>
        <v>0</v>
      </c>
      <c r="M202" s="431">
        <f t="shared" si="65"/>
        <v>0</v>
      </c>
      <c r="N202" s="431">
        <f t="shared" si="65"/>
        <v>0</v>
      </c>
      <c r="O202" s="431">
        <f t="shared" si="65"/>
        <v>0</v>
      </c>
      <c r="P202" s="431">
        <f t="shared" si="65"/>
        <v>0</v>
      </c>
      <c r="Q202" s="431">
        <f t="shared" si="65"/>
        <v>0</v>
      </c>
      <c r="R202" s="431">
        <f t="shared" si="65"/>
        <v>0</v>
      </c>
      <c r="S202" s="431">
        <f t="shared" si="65"/>
        <v>0</v>
      </c>
      <c r="T202" s="431">
        <f t="shared" si="65"/>
        <v>0</v>
      </c>
      <c r="U202" s="431">
        <f t="shared" si="65"/>
        <v>0</v>
      </c>
      <c r="V202" s="551">
        <f>V203+V205+V207+V209</f>
        <v>48400000</v>
      </c>
    </row>
    <row r="203" spans="1:22" s="420" customFormat="1" ht="22.5" customHeight="1">
      <c r="A203" s="428"/>
      <c r="B203" s="428"/>
      <c r="C203" s="428"/>
      <c r="D203" s="428">
        <v>6</v>
      </c>
      <c r="E203" s="428">
        <v>1</v>
      </c>
      <c r="F203" s="428">
        <v>1</v>
      </c>
      <c r="G203" s="430"/>
      <c r="H203" s="429" t="s">
        <v>1100</v>
      </c>
      <c r="I203" s="428"/>
      <c r="J203" s="431">
        <f>SUM(J204)</f>
        <v>48400000</v>
      </c>
      <c r="K203" s="432"/>
      <c r="L203" s="432">
        <f t="shared" ref="L203:U203" si="66">SUM(L204)</f>
        <v>0</v>
      </c>
      <c r="M203" s="431">
        <f t="shared" si="66"/>
        <v>0</v>
      </c>
      <c r="N203" s="431">
        <f t="shared" si="66"/>
        <v>0</v>
      </c>
      <c r="O203" s="431">
        <f t="shared" si="66"/>
        <v>0</v>
      </c>
      <c r="P203" s="431">
        <f t="shared" si="66"/>
        <v>0</v>
      </c>
      <c r="Q203" s="431">
        <f t="shared" si="66"/>
        <v>0</v>
      </c>
      <c r="R203" s="431">
        <f t="shared" si="66"/>
        <v>0</v>
      </c>
      <c r="S203" s="431">
        <f t="shared" si="66"/>
        <v>0</v>
      </c>
      <c r="T203" s="431">
        <f t="shared" si="66"/>
        <v>0</v>
      </c>
      <c r="U203" s="431">
        <f t="shared" si="66"/>
        <v>0</v>
      </c>
      <c r="V203" s="551">
        <f>SUM(V204)</f>
        <v>48400000</v>
      </c>
    </row>
    <row r="204" spans="1:22" s="423" customFormat="1" ht="22.5" customHeight="1">
      <c r="A204" s="437"/>
      <c r="B204" s="437"/>
      <c r="C204" s="437"/>
      <c r="D204" s="437">
        <v>6</v>
      </c>
      <c r="E204" s="437">
        <v>1</v>
      </c>
      <c r="F204" s="437">
        <v>1</v>
      </c>
      <c r="G204" s="443">
        <v>1</v>
      </c>
      <c r="H204" s="438" t="s">
        <v>1100</v>
      </c>
      <c r="I204" s="437"/>
      <c r="J204" s="440">
        <f>SUM(L204:V204)</f>
        <v>48400000</v>
      </c>
      <c r="K204" s="527"/>
      <c r="L204" s="527"/>
      <c r="M204" s="440">
        <v>0</v>
      </c>
      <c r="N204" s="440">
        <v>0</v>
      </c>
      <c r="O204" s="440">
        <v>0</v>
      </c>
      <c r="P204" s="440">
        <v>0</v>
      </c>
      <c r="Q204" s="440">
        <v>0</v>
      </c>
      <c r="R204" s="440"/>
      <c r="S204" s="440">
        <v>0</v>
      </c>
      <c r="T204" s="440">
        <v>0</v>
      </c>
      <c r="U204" s="440">
        <v>0</v>
      </c>
      <c r="V204" s="440">
        <v>48400000</v>
      </c>
    </row>
    <row r="205" spans="1:22" s="420" customFormat="1" ht="22.5" customHeight="1">
      <c r="A205" s="428"/>
      <c r="B205" s="428"/>
      <c r="C205" s="428"/>
      <c r="D205" s="428">
        <v>6</v>
      </c>
      <c r="E205" s="428">
        <v>1</v>
      </c>
      <c r="F205" s="428">
        <v>2</v>
      </c>
      <c r="G205" s="430"/>
      <c r="H205" s="552" t="s">
        <v>1101</v>
      </c>
      <c r="I205" s="570"/>
      <c r="J205" s="431">
        <f>SUM(J206)</f>
        <v>0</v>
      </c>
      <c r="K205" s="432"/>
      <c r="L205" s="432">
        <f t="shared" ref="L205:V205" si="67">SUM(L206)</f>
        <v>0</v>
      </c>
      <c r="M205" s="431">
        <f t="shared" si="67"/>
        <v>0</v>
      </c>
      <c r="N205" s="431">
        <f t="shared" si="67"/>
        <v>0</v>
      </c>
      <c r="O205" s="431">
        <f t="shared" si="67"/>
        <v>0</v>
      </c>
      <c r="P205" s="431">
        <f t="shared" si="67"/>
        <v>0</v>
      </c>
      <c r="Q205" s="431">
        <f t="shared" si="67"/>
        <v>0</v>
      </c>
      <c r="R205" s="431">
        <f t="shared" si="67"/>
        <v>0</v>
      </c>
      <c r="S205" s="431">
        <f t="shared" si="67"/>
        <v>0</v>
      </c>
      <c r="T205" s="431">
        <f t="shared" si="67"/>
        <v>0</v>
      </c>
      <c r="U205" s="431">
        <f t="shared" si="67"/>
        <v>0</v>
      </c>
      <c r="V205" s="551">
        <f t="shared" si="67"/>
        <v>0</v>
      </c>
    </row>
    <row r="206" spans="1:22" s="423" customFormat="1" ht="22.5" customHeight="1">
      <c r="A206" s="437"/>
      <c r="B206" s="437"/>
      <c r="C206" s="437"/>
      <c r="D206" s="437">
        <v>6</v>
      </c>
      <c r="E206" s="437">
        <v>1</v>
      </c>
      <c r="F206" s="437">
        <v>2</v>
      </c>
      <c r="G206" s="443">
        <v>1</v>
      </c>
      <c r="H206" s="553" t="s">
        <v>1101</v>
      </c>
      <c r="I206" s="571"/>
      <c r="J206" s="440">
        <f>SUM(L206:V206)</f>
        <v>0</v>
      </c>
      <c r="K206" s="527"/>
      <c r="L206" s="441"/>
      <c r="M206" s="442"/>
      <c r="N206" s="442"/>
      <c r="O206" s="442"/>
      <c r="P206" s="442"/>
      <c r="Q206" s="442"/>
      <c r="R206" s="442"/>
      <c r="S206" s="442"/>
      <c r="T206" s="442"/>
      <c r="U206" s="442"/>
      <c r="V206" s="550"/>
    </row>
    <row r="207" spans="1:22" s="420" customFormat="1" ht="22.5" customHeight="1">
      <c r="A207" s="428"/>
      <c r="B207" s="428"/>
      <c r="C207" s="428"/>
      <c r="D207" s="428">
        <v>6</v>
      </c>
      <c r="E207" s="428">
        <v>1</v>
      </c>
      <c r="F207" s="428">
        <v>3</v>
      </c>
      <c r="G207" s="430"/>
      <c r="H207" s="429" t="s">
        <v>1102</v>
      </c>
      <c r="I207" s="428"/>
      <c r="J207" s="431">
        <v>0</v>
      </c>
      <c r="K207" s="432"/>
      <c r="L207" s="432">
        <v>0</v>
      </c>
      <c r="M207" s="431">
        <v>0</v>
      </c>
      <c r="N207" s="431">
        <v>0</v>
      </c>
      <c r="O207" s="431">
        <v>0</v>
      </c>
      <c r="P207" s="431">
        <v>0</v>
      </c>
      <c r="Q207" s="431">
        <v>0</v>
      </c>
      <c r="R207" s="431">
        <v>0</v>
      </c>
      <c r="S207" s="431">
        <v>0</v>
      </c>
      <c r="T207" s="431">
        <v>0</v>
      </c>
      <c r="U207" s="431">
        <v>0</v>
      </c>
      <c r="V207" s="551">
        <v>0</v>
      </c>
    </row>
    <row r="208" spans="1:22" s="423" customFormat="1" ht="22.5" customHeight="1">
      <c r="A208" s="437"/>
      <c r="B208" s="437"/>
      <c r="C208" s="437"/>
      <c r="D208" s="437">
        <v>6</v>
      </c>
      <c r="E208" s="437">
        <v>1</v>
      </c>
      <c r="F208" s="437">
        <v>3</v>
      </c>
      <c r="G208" s="443">
        <v>1</v>
      </c>
      <c r="H208" s="438" t="s">
        <v>1102</v>
      </c>
      <c r="I208" s="437"/>
      <c r="J208" s="440">
        <v>0</v>
      </c>
      <c r="K208" s="527"/>
      <c r="L208" s="441"/>
      <c r="M208" s="442"/>
      <c r="N208" s="442"/>
      <c r="O208" s="442"/>
      <c r="P208" s="442"/>
      <c r="Q208" s="442"/>
      <c r="R208" s="442"/>
      <c r="S208" s="442"/>
      <c r="T208" s="442"/>
      <c r="U208" s="442"/>
      <c r="V208" s="550"/>
    </row>
    <row r="209" spans="1:22" s="420" customFormat="1" ht="22.5" customHeight="1">
      <c r="A209" s="428"/>
      <c r="B209" s="428"/>
      <c r="C209" s="428"/>
      <c r="D209" s="428">
        <v>6</v>
      </c>
      <c r="E209" s="428">
        <v>1</v>
      </c>
      <c r="F209" s="428">
        <v>9</v>
      </c>
      <c r="G209" s="430"/>
      <c r="H209" s="429" t="s">
        <v>1103</v>
      </c>
      <c r="I209" s="428"/>
      <c r="J209" s="431">
        <f>SUM(J210)</f>
        <v>0</v>
      </c>
      <c r="K209" s="432"/>
      <c r="L209" s="432">
        <f t="shared" ref="L209:V209" si="68">SUM(L210)</f>
        <v>0</v>
      </c>
      <c r="M209" s="431">
        <f t="shared" si="68"/>
        <v>0</v>
      </c>
      <c r="N209" s="431">
        <f t="shared" si="68"/>
        <v>0</v>
      </c>
      <c r="O209" s="431">
        <f t="shared" si="68"/>
        <v>0</v>
      </c>
      <c r="P209" s="431">
        <f t="shared" si="68"/>
        <v>0</v>
      </c>
      <c r="Q209" s="431">
        <f t="shared" si="68"/>
        <v>0</v>
      </c>
      <c r="R209" s="431">
        <f t="shared" si="68"/>
        <v>0</v>
      </c>
      <c r="S209" s="431">
        <f t="shared" si="68"/>
        <v>0</v>
      </c>
      <c r="T209" s="431">
        <f t="shared" si="68"/>
        <v>0</v>
      </c>
      <c r="U209" s="431">
        <f t="shared" si="68"/>
        <v>0</v>
      </c>
      <c r="V209" s="551">
        <f t="shared" si="68"/>
        <v>0</v>
      </c>
    </row>
    <row r="210" spans="1:22" s="423" customFormat="1" ht="22.5" customHeight="1">
      <c r="A210" s="437"/>
      <c r="B210" s="437"/>
      <c r="C210" s="437"/>
      <c r="D210" s="437">
        <v>6</v>
      </c>
      <c r="E210" s="437">
        <v>1</v>
      </c>
      <c r="F210" s="437">
        <v>9</v>
      </c>
      <c r="G210" s="443">
        <v>1</v>
      </c>
      <c r="H210" s="438" t="s">
        <v>1103</v>
      </c>
      <c r="I210" s="437"/>
      <c r="J210" s="440">
        <f>SUM(L210:V210)</f>
        <v>0</v>
      </c>
      <c r="K210" s="527"/>
      <c r="L210" s="441"/>
      <c r="M210" s="442"/>
      <c r="N210" s="442"/>
      <c r="O210" s="442"/>
      <c r="P210" s="442"/>
      <c r="Q210" s="442"/>
      <c r="R210" s="442"/>
      <c r="S210" s="442"/>
      <c r="T210" s="442"/>
      <c r="U210" s="442"/>
      <c r="V210" s="550"/>
    </row>
    <row r="211" spans="1:22" s="423" customFormat="1" ht="22.5" customHeight="1">
      <c r="A211" s="437"/>
      <c r="B211" s="437"/>
      <c r="C211" s="437"/>
      <c r="D211" s="437">
        <v>6</v>
      </c>
      <c r="E211" s="437">
        <v>2</v>
      </c>
      <c r="F211" s="437"/>
      <c r="G211" s="443"/>
      <c r="H211" s="429" t="s">
        <v>1104</v>
      </c>
      <c r="I211" s="428"/>
      <c r="J211" s="440">
        <f>J212+J214+J216</f>
        <v>20000000</v>
      </c>
      <c r="K211" s="527"/>
      <c r="L211" s="527">
        <f t="shared" ref="L211:V211" si="69">L212+L214+L216</f>
        <v>0</v>
      </c>
      <c r="M211" s="440">
        <f t="shared" si="69"/>
        <v>0</v>
      </c>
      <c r="N211" s="440">
        <f t="shared" si="69"/>
        <v>0</v>
      </c>
      <c r="O211" s="440">
        <f t="shared" si="69"/>
        <v>0</v>
      </c>
      <c r="P211" s="440">
        <f t="shared" si="69"/>
        <v>0</v>
      </c>
      <c r="Q211" s="440">
        <f t="shared" si="69"/>
        <v>0</v>
      </c>
      <c r="R211" s="440">
        <f t="shared" si="69"/>
        <v>0</v>
      </c>
      <c r="S211" s="440">
        <f t="shared" si="69"/>
        <v>0</v>
      </c>
      <c r="T211" s="440">
        <f t="shared" si="69"/>
        <v>0</v>
      </c>
      <c r="U211" s="440">
        <f t="shared" si="69"/>
        <v>0</v>
      </c>
      <c r="V211" s="549">
        <f t="shared" si="69"/>
        <v>20000000</v>
      </c>
    </row>
    <row r="212" spans="1:22" s="420" customFormat="1" ht="22.5" customHeight="1">
      <c r="A212" s="428"/>
      <c r="B212" s="428"/>
      <c r="C212" s="428"/>
      <c r="D212" s="428">
        <v>6</v>
      </c>
      <c r="E212" s="428">
        <v>2</v>
      </c>
      <c r="F212" s="428">
        <v>1</v>
      </c>
      <c r="G212" s="430"/>
      <c r="H212" s="429" t="s">
        <v>1105</v>
      </c>
      <c r="I212" s="428"/>
      <c r="J212" s="431">
        <f>SUM(J213)</f>
        <v>20000000</v>
      </c>
      <c r="K212" s="432"/>
      <c r="L212" s="432">
        <f t="shared" ref="L212:V212" si="70">SUM(L213)</f>
        <v>0</v>
      </c>
      <c r="M212" s="431">
        <f t="shared" si="70"/>
        <v>0</v>
      </c>
      <c r="N212" s="431">
        <f t="shared" si="70"/>
        <v>0</v>
      </c>
      <c r="O212" s="431">
        <f t="shared" si="70"/>
        <v>0</v>
      </c>
      <c r="P212" s="431">
        <f t="shared" si="70"/>
        <v>0</v>
      </c>
      <c r="Q212" s="431">
        <f t="shared" si="70"/>
        <v>0</v>
      </c>
      <c r="R212" s="431">
        <f t="shared" si="70"/>
        <v>0</v>
      </c>
      <c r="S212" s="431">
        <f t="shared" si="70"/>
        <v>0</v>
      </c>
      <c r="T212" s="431">
        <f t="shared" si="70"/>
        <v>0</v>
      </c>
      <c r="U212" s="431">
        <f t="shared" si="70"/>
        <v>0</v>
      </c>
      <c r="V212" s="551">
        <f t="shared" si="70"/>
        <v>20000000</v>
      </c>
    </row>
    <row r="213" spans="1:22" s="423" customFormat="1" ht="22.5" customHeight="1">
      <c r="A213" s="437"/>
      <c r="B213" s="437"/>
      <c r="C213" s="437"/>
      <c r="D213" s="437">
        <v>6</v>
      </c>
      <c r="E213" s="437">
        <v>2</v>
      </c>
      <c r="F213" s="437">
        <v>1</v>
      </c>
      <c r="G213" s="443">
        <v>1</v>
      </c>
      <c r="H213" s="438" t="s">
        <v>1105</v>
      </c>
      <c r="I213" s="437"/>
      <c r="J213" s="440">
        <f>SUM(L213:V213)</f>
        <v>20000000</v>
      </c>
      <c r="K213" s="527"/>
      <c r="L213" s="441"/>
      <c r="M213" s="442"/>
      <c r="N213" s="442"/>
      <c r="O213" s="442"/>
      <c r="P213" s="442"/>
      <c r="Q213" s="442"/>
      <c r="R213" s="442"/>
      <c r="S213" s="442"/>
      <c r="T213" s="442"/>
      <c r="U213" s="442"/>
      <c r="V213" s="550">
        <v>20000000</v>
      </c>
    </row>
    <row r="214" spans="1:22" s="420" customFormat="1" ht="22.5" customHeight="1">
      <c r="A214" s="428"/>
      <c r="B214" s="428"/>
      <c r="C214" s="428"/>
      <c r="D214" s="428">
        <v>6</v>
      </c>
      <c r="E214" s="428">
        <v>2</v>
      </c>
      <c r="F214" s="428">
        <v>2</v>
      </c>
      <c r="G214" s="430"/>
      <c r="H214" s="429" t="s">
        <v>1106</v>
      </c>
      <c r="I214" s="428"/>
      <c r="J214" s="431">
        <f>SUM(J215)</f>
        <v>0</v>
      </c>
      <c r="K214" s="432"/>
      <c r="L214" s="432">
        <f t="shared" ref="L214:V214" si="71">SUM(L215)</f>
        <v>0</v>
      </c>
      <c r="M214" s="431">
        <f t="shared" si="71"/>
        <v>0</v>
      </c>
      <c r="N214" s="431">
        <f t="shared" si="71"/>
        <v>0</v>
      </c>
      <c r="O214" s="431">
        <f t="shared" si="71"/>
        <v>0</v>
      </c>
      <c r="P214" s="431">
        <f t="shared" si="71"/>
        <v>0</v>
      </c>
      <c r="Q214" s="431">
        <f t="shared" si="71"/>
        <v>0</v>
      </c>
      <c r="R214" s="431">
        <f t="shared" si="71"/>
        <v>0</v>
      </c>
      <c r="S214" s="431">
        <f t="shared" si="71"/>
        <v>0</v>
      </c>
      <c r="T214" s="431">
        <f t="shared" si="71"/>
        <v>0</v>
      </c>
      <c r="U214" s="431">
        <f t="shared" si="71"/>
        <v>0</v>
      </c>
      <c r="V214" s="551">
        <f t="shared" si="71"/>
        <v>0</v>
      </c>
    </row>
    <row r="215" spans="1:22" s="423" customFormat="1" ht="22.5" customHeight="1">
      <c r="A215" s="437"/>
      <c r="B215" s="437"/>
      <c r="C215" s="437"/>
      <c r="D215" s="437">
        <v>6</v>
      </c>
      <c r="E215" s="437">
        <v>2</v>
      </c>
      <c r="F215" s="437">
        <v>2</v>
      </c>
      <c r="G215" s="443">
        <v>1</v>
      </c>
      <c r="H215" s="438" t="s">
        <v>1106</v>
      </c>
      <c r="I215" s="437"/>
      <c r="J215" s="440">
        <f>SUM(L215:V215)</f>
        <v>0</v>
      </c>
      <c r="K215" s="527"/>
      <c r="L215" s="441"/>
      <c r="M215" s="442"/>
      <c r="N215" s="442"/>
      <c r="O215" s="442"/>
      <c r="P215" s="442"/>
      <c r="Q215" s="442"/>
      <c r="R215" s="442"/>
      <c r="S215" s="442"/>
      <c r="T215" s="442"/>
      <c r="U215" s="442"/>
      <c r="V215" s="550"/>
    </row>
    <row r="216" spans="1:22" s="420" customFormat="1" ht="22.5" customHeight="1">
      <c r="A216" s="428"/>
      <c r="B216" s="428"/>
      <c r="C216" s="428"/>
      <c r="D216" s="428">
        <v>6</v>
      </c>
      <c r="E216" s="428">
        <v>2</v>
      </c>
      <c r="F216" s="428">
        <v>3</v>
      </c>
      <c r="G216" s="430"/>
      <c r="H216" s="429" t="s">
        <v>1107</v>
      </c>
      <c r="I216" s="428"/>
      <c r="J216" s="431">
        <f>SUM(J217)</f>
        <v>0</v>
      </c>
      <c r="K216" s="432"/>
      <c r="L216" s="432">
        <f t="shared" ref="L216:V216" si="72">SUM(L217)</f>
        <v>0</v>
      </c>
      <c r="M216" s="431">
        <f t="shared" si="72"/>
        <v>0</v>
      </c>
      <c r="N216" s="431">
        <f t="shared" si="72"/>
        <v>0</v>
      </c>
      <c r="O216" s="431">
        <f t="shared" si="72"/>
        <v>0</v>
      </c>
      <c r="P216" s="431">
        <f t="shared" si="72"/>
        <v>0</v>
      </c>
      <c r="Q216" s="431">
        <f t="shared" si="72"/>
        <v>0</v>
      </c>
      <c r="R216" s="431">
        <f t="shared" si="72"/>
        <v>0</v>
      </c>
      <c r="S216" s="431">
        <f t="shared" si="72"/>
        <v>0</v>
      </c>
      <c r="T216" s="431">
        <f t="shared" si="72"/>
        <v>0</v>
      </c>
      <c r="U216" s="431">
        <f t="shared" si="72"/>
        <v>0</v>
      </c>
      <c r="V216" s="551">
        <f t="shared" si="72"/>
        <v>0</v>
      </c>
    </row>
    <row r="217" spans="1:22" s="423" customFormat="1" ht="22.5" customHeight="1">
      <c r="A217" s="437"/>
      <c r="B217" s="437"/>
      <c r="C217" s="437"/>
      <c r="D217" s="437">
        <v>6</v>
      </c>
      <c r="E217" s="437">
        <v>2</v>
      </c>
      <c r="F217" s="437">
        <v>3</v>
      </c>
      <c r="G217" s="443">
        <v>1</v>
      </c>
      <c r="H217" s="438" t="s">
        <v>1107</v>
      </c>
      <c r="I217" s="437"/>
      <c r="J217" s="440">
        <f>SUM(L217:V217)</f>
        <v>0</v>
      </c>
      <c r="K217" s="527"/>
      <c r="L217" s="441"/>
      <c r="M217" s="442"/>
      <c r="N217" s="442"/>
      <c r="O217" s="442"/>
      <c r="P217" s="442"/>
      <c r="Q217" s="442"/>
      <c r="R217" s="442"/>
      <c r="S217" s="442"/>
      <c r="T217" s="442"/>
      <c r="U217" s="442"/>
      <c r="V217" s="550"/>
    </row>
    <row r="218" spans="1:22" s="423" customFormat="1" ht="22.5" customHeight="1">
      <c r="A218" s="437"/>
      <c r="B218" s="437"/>
      <c r="C218" s="437"/>
      <c r="D218" s="437"/>
      <c r="E218" s="437"/>
      <c r="F218" s="437"/>
      <c r="G218" s="443"/>
      <c r="H218" s="429" t="s">
        <v>1108</v>
      </c>
      <c r="I218" s="428"/>
      <c r="J218" s="440">
        <f>J202-J211</f>
        <v>28400000</v>
      </c>
      <c r="K218" s="527"/>
      <c r="L218" s="527">
        <f t="shared" ref="L218:V218" si="73">L202-L211</f>
        <v>0</v>
      </c>
      <c r="M218" s="440">
        <f t="shared" si="73"/>
        <v>0</v>
      </c>
      <c r="N218" s="440">
        <f t="shared" si="73"/>
        <v>0</v>
      </c>
      <c r="O218" s="440">
        <f t="shared" si="73"/>
        <v>0</v>
      </c>
      <c r="P218" s="440">
        <f t="shared" si="73"/>
        <v>0</v>
      </c>
      <c r="Q218" s="440">
        <f t="shared" si="73"/>
        <v>0</v>
      </c>
      <c r="R218" s="440">
        <f t="shared" si="73"/>
        <v>0</v>
      </c>
      <c r="S218" s="440">
        <f t="shared" si="73"/>
        <v>0</v>
      </c>
      <c r="T218" s="440">
        <f t="shared" si="73"/>
        <v>0</v>
      </c>
      <c r="U218" s="440">
        <f t="shared" si="73"/>
        <v>0</v>
      </c>
      <c r="V218" s="549">
        <f t="shared" si="73"/>
        <v>28400000</v>
      </c>
    </row>
    <row r="219" spans="1:22" s="423" customFormat="1" ht="18">
      <c r="A219" s="554"/>
      <c r="B219" s="555"/>
      <c r="C219" s="555"/>
      <c r="D219" s="555"/>
      <c r="E219" s="555"/>
      <c r="F219" s="555"/>
      <c r="G219" s="556"/>
      <c r="H219" s="555"/>
      <c r="I219" s="567"/>
      <c r="J219" s="557"/>
      <c r="K219" s="560"/>
      <c r="L219" s="559"/>
    </row>
    <row r="220" spans="1:22" s="423" customFormat="1" ht="18">
      <c r="A220" s="554"/>
      <c r="B220" s="555"/>
      <c r="C220" s="555"/>
      <c r="D220" s="555"/>
      <c r="E220" s="555"/>
      <c r="F220" s="760" t="s">
        <v>335</v>
      </c>
      <c r="G220" s="760"/>
      <c r="H220" s="760"/>
      <c r="I220" s="572"/>
      <c r="J220" s="761"/>
      <c r="K220" s="761"/>
      <c r="L220" s="761"/>
      <c r="T220" s="534" t="s">
        <v>1109</v>
      </c>
    </row>
    <row r="221" spans="1:22" s="423" customFormat="1" ht="18">
      <c r="A221" s="554"/>
      <c r="B221" s="555"/>
      <c r="C221" s="555"/>
      <c r="D221" s="555"/>
      <c r="E221" s="555"/>
      <c r="F221" s="760" t="s">
        <v>904</v>
      </c>
      <c r="G221" s="760"/>
      <c r="H221" s="760"/>
      <c r="I221" s="572"/>
      <c r="J221" s="560"/>
      <c r="K221" s="560"/>
      <c r="L221" s="559"/>
      <c r="T221" s="534" t="s">
        <v>1110</v>
      </c>
    </row>
    <row r="222" spans="1:22" s="423" customFormat="1" ht="18">
      <c r="A222" s="554"/>
      <c r="B222" s="555"/>
      <c r="C222" s="555"/>
      <c r="D222" s="555"/>
      <c r="E222" s="555"/>
      <c r="F222" s="760"/>
      <c r="G222" s="760"/>
      <c r="H222" s="760"/>
      <c r="I222" s="572"/>
      <c r="J222" s="560"/>
      <c r="K222" s="560"/>
      <c r="L222" s="559"/>
      <c r="T222" s="534"/>
    </row>
    <row r="223" spans="1:22" s="423" customFormat="1" ht="18">
      <c r="F223" s="760"/>
      <c r="G223" s="760"/>
      <c r="H223" s="760"/>
      <c r="I223" s="572"/>
      <c r="J223" s="761"/>
      <c r="K223" s="761"/>
      <c r="L223" s="761"/>
      <c r="T223" s="534"/>
    </row>
    <row r="224" spans="1:22" s="423" customFormat="1" ht="18">
      <c r="F224" s="760"/>
      <c r="G224" s="760"/>
      <c r="H224" s="760"/>
      <c r="I224" s="572"/>
      <c r="J224" s="560"/>
      <c r="K224" s="560"/>
      <c r="L224" s="559"/>
      <c r="T224" s="534"/>
    </row>
    <row r="225" spans="6:20" s="420" customFormat="1" ht="18">
      <c r="F225" s="762" t="s">
        <v>1111</v>
      </c>
      <c r="G225" s="762"/>
      <c r="H225" s="762"/>
      <c r="I225" s="573"/>
      <c r="J225" s="561"/>
      <c r="K225" s="561"/>
      <c r="L225" s="562"/>
      <c r="T225" s="563" t="s">
        <v>35</v>
      </c>
    </row>
  </sheetData>
  <mergeCells count="30">
    <mergeCell ref="A1:V1"/>
    <mergeCell ref="A2:V2"/>
    <mergeCell ref="A3:V3"/>
    <mergeCell ref="A6:G9"/>
    <mergeCell ref="H6:H9"/>
    <mergeCell ref="J6:J9"/>
    <mergeCell ref="L6:L9"/>
    <mergeCell ref="M6:V7"/>
    <mergeCell ref="M8:M9"/>
    <mergeCell ref="N8:N9"/>
    <mergeCell ref="I6:I9"/>
    <mergeCell ref="K6:K9"/>
    <mergeCell ref="A10:C10"/>
    <mergeCell ref="D10:G10"/>
    <mergeCell ref="F220:H220"/>
    <mergeCell ref="J220:L220"/>
    <mergeCell ref="O8:O9"/>
    <mergeCell ref="J223:L223"/>
    <mergeCell ref="F224:H224"/>
    <mergeCell ref="F225:H225"/>
    <mergeCell ref="U8:U9"/>
    <mergeCell ref="V8:V9"/>
    <mergeCell ref="P8:P9"/>
    <mergeCell ref="Q8:Q9"/>
    <mergeCell ref="R8:R9"/>
    <mergeCell ref="S8:S9"/>
    <mergeCell ref="T8:T9"/>
    <mergeCell ref="F221:H221"/>
    <mergeCell ref="F222:H222"/>
    <mergeCell ref="F223:H223"/>
  </mergeCells>
  <pageMargins left="0.78" right="0.2" top="0.74803149606299202" bottom="0.74803149606299202" header="0.31496062992126" footer="0.31496062992126"/>
  <pageSetup paperSize="300" scale="32" orientation="landscape" horizontalDpi="4294967293" r:id="rId1"/>
  <rowBreaks count="1" manualBreakCount="1">
    <brk id="64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REKAP RPJMKAL FIX</vt:lpstr>
      <vt:lpstr>RKP TAHUN 2020</vt:lpstr>
      <vt:lpstr>RKP TAHUN 2021</vt:lpstr>
      <vt:lpstr>RKP TAHUN 2022</vt:lpstr>
      <vt:lpstr>PROYEKSI PENDAPATAN</vt:lpstr>
      <vt:lpstr>PROYEKSI BELANJA</vt:lpstr>
      <vt:lpstr>RENCANA 2023</vt:lpstr>
      <vt:lpstr>DRAF RKP 2023</vt:lpstr>
      <vt:lpstr>DRAF RKP 2023 (2)</vt:lpstr>
      <vt:lpstr>DRAF RKP PRINT</vt:lpstr>
      <vt:lpstr>fixx</vt:lpstr>
      <vt:lpstr>'DRAF RKP 2023'!Print_Area</vt:lpstr>
      <vt:lpstr>'DRAF RKP 2023 (2)'!Print_Area</vt:lpstr>
      <vt:lpstr>'DRAF RKP PRINT'!Print_Area</vt:lpstr>
      <vt:lpstr>'PROYEKSI BELANJA'!Print_Area</vt:lpstr>
      <vt:lpstr>'REKAP RPJMKAL FIX'!Print_Area</vt:lpstr>
      <vt:lpstr>'RKP TAHUN 2020'!Print_Area</vt:lpstr>
      <vt:lpstr>'RKP TAHUN 2021'!Print_Area</vt:lpstr>
      <vt:lpstr>'RKP TAHUN 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RYZEN</cp:lastModifiedBy>
  <cp:lastPrinted>2022-12-06T02:50:47Z</cp:lastPrinted>
  <dcterms:created xsi:type="dcterms:W3CDTF">2019-07-23T02:06:08Z</dcterms:created>
  <dcterms:modified xsi:type="dcterms:W3CDTF">2022-12-29T03:58:42Z</dcterms:modified>
</cp:coreProperties>
</file>